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er\LA OCD A M Dropbox\Anker Heegaard\LA - Rental Programs MMLP LDI\Comments and FAQ\"/>
    </mc:Choice>
  </mc:AlternateContent>
  <xr:revisionPtr revIDLastSave="0" documentId="8_{5F232220-061C-4C80-A246-93AD5B874179}" xr6:coauthVersionLast="47" xr6:coauthVersionMax="47" xr10:uidLastSave="{00000000-0000-0000-0000-000000000000}"/>
  <bookViews>
    <workbookView xWindow="6885" yWindow="1035" windowWidth="25320" windowHeight="15120" xr2:uid="{D6E4694B-8BFC-4A74-860C-0FBE538E1CA1}"/>
  </bookViews>
  <sheets>
    <sheet name="BASIC INPUT" sheetId="1" r:id="rId1"/>
    <sheet name="PROFORMA" sheetId="4" r:id="rId2"/>
    <sheet name="CDBG Repmt NPV" sheetId="10" r:id="rId3"/>
    <sheet name="REF AMIS" sheetId="2" r:id="rId4"/>
    <sheet name="Calc AMI Rents" sheetId="3" r:id="rId5"/>
    <sheet name="DropDowns" sheetId="5" state="hidden" r:id="rId6"/>
    <sheet name="Outputs" sheetId="8" state="hidden" r:id="rId7"/>
    <sheet name="This One" sheetId="9" state="hidden" r:id="rId8"/>
  </sheets>
  <definedNames>
    <definedName name="_xlnm.Print_Area" localSheetId="0">'BASIC INPUT'!$A$1:$H$164</definedName>
    <definedName name="_xlnm.Print_Titles" localSheetId="0">'BASIC INPUT'!$1:$4</definedName>
    <definedName name="_xlnm.Print_Titles" localSheetId="6">Outputs!$C:$D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91" i="1"/>
  <c r="D90" i="1"/>
  <c r="D89" i="1"/>
  <c r="D88" i="1"/>
  <c r="D3" i="9" l="1"/>
  <c r="D105" i="1"/>
  <c r="D104" i="1"/>
  <c r="C31" i="10"/>
  <c r="C12" i="10"/>
  <c r="C22" i="10"/>
  <c r="G21" i="10"/>
  <c r="B1" i="10"/>
  <c r="A4" i="10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B2" i="10"/>
  <c r="B1" i="4"/>
  <c r="G22" i="10" l="1"/>
  <c r="K21" i="10"/>
  <c r="K22" i="10" l="1"/>
  <c r="O21" i="10"/>
  <c r="O22" i="10" l="1"/>
  <c r="S21" i="10"/>
  <c r="A1" i="3"/>
  <c r="A2" i="3"/>
  <c r="A1" i="2"/>
  <c r="D24" i="9"/>
  <c r="D23" i="9"/>
  <c r="D22" i="9"/>
  <c r="D21" i="9"/>
  <c r="D9" i="9"/>
  <c r="D5" i="9"/>
  <c r="S22" i="10" l="1"/>
  <c r="W21" i="10"/>
  <c r="C125" i="1"/>
  <c r="B2" i="4"/>
  <c r="C146" i="1"/>
  <c r="C148" i="1"/>
  <c r="B149" i="1" s="1"/>
  <c r="D149" i="1" s="1"/>
  <c r="C130" i="1"/>
  <c r="C131" i="1" s="1"/>
  <c r="M105" i="1"/>
  <c r="F143" i="3"/>
  <c r="C33" i="1" s="1"/>
  <c r="C40" i="1" s="1"/>
  <c r="E143" i="3"/>
  <c r="C32" i="1" s="1"/>
  <c r="C39" i="1" s="1"/>
  <c r="D143" i="3"/>
  <c r="C31" i="1" s="1"/>
  <c r="C38" i="1" s="1"/>
  <c r="C143" i="3"/>
  <c r="C30" i="1" s="1"/>
  <c r="C37" i="1" s="1"/>
  <c r="B143" i="3"/>
  <c r="C29" i="1" s="1"/>
  <c r="C36" i="1" s="1"/>
  <c r="H16" i="1"/>
  <c r="C21" i="1"/>
  <c r="C22" i="1"/>
  <c r="C23" i="1"/>
  <c r="C24" i="1"/>
  <c r="G40" i="1" s="1"/>
  <c r="C20" i="1"/>
  <c r="G29" i="1" s="1"/>
  <c r="A114" i="3"/>
  <c r="I111" i="3"/>
  <c r="I112" i="3" s="1"/>
  <c r="F110" i="3"/>
  <c r="F109" i="3"/>
  <c r="F108" i="3"/>
  <c r="F107" i="3"/>
  <c r="F106" i="3"/>
  <c r="F105" i="3"/>
  <c r="C12" i="1"/>
  <c r="C13" i="1"/>
  <c r="C14" i="1"/>
  <c r="C15" i="1"/>
  <c r="C11" i="1"/>
  <c r="G16" i="1"/>
  <c r="F16" i="1"/>
  <c r="E16" i="1"/>
  <c r="D16" i="1"/>
  <c r="C12" i="4"/>
  <c r="D12" i="4" s="1"/>
  <c r="D13" i="4" s="1"/>
  <c r="J5" i="8"/>
  <c r="K5" i="8"/>
  <c r="J9" i="8"/>
  <c r="K9" i="8"/>
  <c r="J21" i="8"/>
  <c r="K21" i="8"/>
  <c r="J22" i="8"/>
  <c r="K22" i="8"/>
  <c r="J23" i="8"/>
  <c r="K23" i="8"/>
  <c r="J24" i="8"/>
  <c r="K24" i="8"/>
  <c r="C47" i="1"/>
  <c r="C46" i="1"/>
  <c r="C45" i="1"/>
  <c r="C44" i="1"/>
  <c r="C43" i="1"/>
  <c r="A32" i="4"/>
  <c r="B32" i="4"/>
  <c r="A28" i="4"/>
  <c r="B28" i="4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C18" i="4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AJ18" i="4" s="1"/>
  <c r="AK18" i="4" s="1"/>
  <c r="AL18" i="4" s="1"/>
  <c r="AM18" i="4" s="1"/>
  <c r="AN18" i="4" s="1"/>
  <c r="AO18" i="4" s="1"/>
  <c r="AP18" i="4" s="1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AG19" i="4" s="1"/>
  <c r="AH19" i="4" s="1"/>
  <c r="AI19" i="4" s="1"/>
  <c r="AJ19" i="4" s="1"/>
  <c r="AK19" i="4" s="1"/>
  <c r="AL19" i="4" s="1"/>
  <c r="AM19" i="4" s="1"/>
  <c r="AN19" i="4" s="1"/>
  <c r="AO19" i="4" s="1"/>
  <c r="AP19" i="4" s="1"/>
  <c r="C20" i="4"/>
  <c r="D20" i="4" s="1"/>
  <c r="E20" i="4" s="1"/>
  <c r="F20" i="4" s="1"/>
  <c r="G20" i="4" s="1"/>
  <c r="H20" i="4" s="1"/>
  <c r="I20" i="4" s="1"/>
  <c r="J20" i="4" s="1"/>
  <c r="K20" i="4" s="1"/>
  <c r="L20" i="4" s="1"/>
  <c r="M20" i="4" s="1"/>
  <c r="N20" i="4" s="1"/>
  <c r="O20" i="4" s="1"/>
  <c r="P20" i="4" s="1"/>
  <c r="Q20" i="4" s="1"/>
  <c r="R20" i="4" s="1"/>
  <c r="S20" i="4" s="1"/>
  <c r="T20" i="4" s="1"/>
  <c r="U20" i="4" s="1"/>
  <c r="V20" i="4" s="1"/>
  <c r="W20" i="4" s="1"/>
  <c r="X20" i="4" s="1"/>
  <c r="Y20" i="4" s="1"/>
  <c r="Z20" i="4" s="1"/>
  <c r="AA20" i="4" s="1"/>
  <c r="AB20" i="4" s="1"/>
  <c r="AC20" i="4" s="1"/>
  <c r="AD20" i="4" s="1"/>
  <c r="AE20" i="4" s="1"/>
  <c r="AF20" i="4" s="1"/>
  <c r="AG20" i="4" s="1"/>
  <c r="AH20" i="4" s="1"/>
  <c r="AI20" i="4" s="1"/>
  <c r="AJ20" i="4" s="1"/>
  <c r="AK20" i="4" s="1"/>
  <c r="AL20" i="4" s="1"/>
  <c r="AM20" i="4" s="1"/>
  <c r="AN20" i="4" s="1"/>
  <c r="AO20" i="4" s="1"/>
  <c r="AP20" i="4" s="1"/>
  <c r="C17" i="4"/>
  <c r="D17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R17" i="4" s="1"/>
  <c r="S17" i="4" s="1"/>
  <c r="T17" i="4" s="1"/>
  <c r="U17" i="4" s="1"/>
  <c r="V17" i="4" s="1"/>
  <c r="W17" i="4" s="1"/>
  <c r="X17" i="4" s="1"/>
  <c r="Y17" i="4" s="1"/>
  <c r="Z17" i="4" s="1"/>
  <c r="AA17" i="4" s="1"/>
  <c r="AB17" i="4" s="1"/>
  <c r="AC17" i="4" s="1"/>
  <c r="AD17" i="4" s="1"/>
  <c r="AE17" i="4" s="1"/>
  <c r="AF17" i="4" s="1"/>
  <c r="AG17" i="4" s="1"/>
  <c r="AH17" i="4" s="1"/>
  <c r="AI17" i="4" s="1"/>
  <c r="AJ17" i="4" s="1"/>
  <c r="AK17" i="4" s="1"/>
  <c r="AL17" i="4" s="1"/>
  <c r="AM17" i="4" s="1"/>
  <c r="AN17" i="4" s="1"/>
  <c r="AO17" i="4" s="1"/>
  <c r="AP17" i="4" s="1"/>
  <c r="C92" i="1"/>
  <c r="A47" i="4"/>
  <c r="A46" i="4"/>
  <c r="A45" i="4"/>
  <c r="A44" i="4"/>
  <c r="A43" i="4"/>
  <c r="A42" i="4"/>
  <c r="A41" i="4"/>
  <c r="A40" i="4"/>
  <c r="A39" i="4"/>
  <c r="A38" i="4"/>
  <c r="A37" i="4"/>
  <c r="A36" i="4"/>
  <c r="A33" i="4"/>
  <c r="A31" i="4"/>
  <c r="A30" i="4"/>
  <c r="A29" i="4"/>
  <c r="A27" i="4"/>
  <c r="A26" i="4"/>
  <c r="A25" i="4"/>
  <c r="A23" i="4"/>
  <c r="A22" i="4"/>
  <c r="A21" i="4"/>
  <c r="A20" i="4"/>
  <c r="A19" i="4"/>
  <c r="A18" i="4"/>
  <c r="A17" i="4"/>
  <c r="A16" i="4"/>
  <c r="A15" i="4"/>
  <c r="A9" i="4"/>
  <c r="A5" i="4"/>
  <c r="A4" i="4"/>
  <c r="D3" i="4"/>
  <c r="E4" i="3"/>
  <c r="B4" i="3" s="1"/>
  <c r="B10" i="3" s="1"/>
  <c r="A128" i="3"/>
  <c r="I125" i="3"/>
  <c r="I126" i="3" s="1"/>
  <c r="F124" i="3"/>
  <c r="F123" i="3"/>
  <c r="F122" i="3"/>
  <c r="F121" i="3"/>
  <c r="F120" i="3"/>
  <c r="F119" i="3"/>
  <c r="A100" i="3"/>
  <c r="I97" i="3"/>
  <c r="I98" i="3" s="1"/>
  <c r="F96" i="3"/>
  <c r="F95" i="3"/>
  <c r="F94" i="3"/>
  <c r="F93" i="3"/>
  <c r="F92" i="3"/>
  <c r="F91" i="3"/>
  <c r="A86" i="3"/>
  <c r="I83" i="3"/>
  <c r="I84" i="3" s="1"/>
  <c r="F82" i="3"/>
  <c r="F81" i="3"/>
  <c r="F80" i="3"/>
  <c r="F79" i="3"/>
  <c r="F78" i="3"/>
  <c r="F77" i="3"/>
  <c r="A72" i="3"/>
  <c r="I69" i="3"/>
  <c r="I70" i="3" s="1"/>
  <c r="F68" i="3"/>
  <c r="F67" i="3"/>
  <c r="F66" i="3"/>
  <c r="F65" i="3"/>
  <c r="F64" i="3"/>
  <c r="F63" i="3"/>
  <c r="A58" i="3"/>
  <c r="I55" i="3"/>
  <c r="I56" i="3" s="1"/>
  <c r="F54" i="3"/>
  <c r="F53" i="3"/>
  <c r="F52" i="3"/>
  <c r="F51" i="3"/>
  <c r="F50" i="3"/>
  <c r="F49" i="3"/>
  <c r="I46" i="3"/>
  <c r="I60" i="3" s="1"/>
  <c r="A44" i="3"/>
  <c r="I41" i="3"/>
  <c r="I42" i="3" s="1"/>
  <c r="F40" i="3"/>
  <c r="F39" i="3"/>
  <c r="F38" i="3"/>
  <c r="F37" i="3"/>
  <c r="F36" i="3"/>
  <c r="F35" i="3"/>
  <c r="I32" i="3"/>
  <c r="A30" i="3"/>
  <c r="I27" i="3"/>
  <c r="I28" i="3" s="1"/>
  <c r="F26" i="3"/>
  <c r="F25" i="3"/>
  <c r="F24" i="3"/>
  <c r="F23" i="3"/>
  <c r="F22" i="3"/>
  <c r="F21" i="3"/>
  <c r="A16" i="3"/>
  <c r="I13" i="3"/>
  <c r="I14" i="3" s="1"/>
  <c r="F12" i="3"/>
  <c r="F11" i="3"/>
  <c r="F10" i="3"/>
  <c r="F9" i="3"/>
  <c r="F8" i="3"/>
  <c r="F7" i="3"/>
  <c r="F71" i="2"/>
  <c r="E71" i="2"/>
  <c r="D7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AA21" i="10" l="1"/>
  <c r="W22" i="10"/>
  <c r="C74" i="1"/>
  <c r="D24" i="1"/>
  <c r="E24" i="1" s="1"/>
  <c r="F43" i="1"/>
  <c r="G36" i="1"/>
  <c r="G33" i="1"/>
  <c r="F47" i="1" s="1"/>
  <c r="D21" i="1"/>
  <c r="E21" i="1" s="1"/>
  <c r="D20" i="1"/>
  <c r="E20" i="1" s="1"/>
  <c r="D23" i="1"/>
  <c r="E23" i="1" s="1"/>
  <c r="D22" i="1"/>
  <c r="E22" i="1" s="1"/>
  <c r="C25" i="1"/>
  <c r="B108" i="3"/>
  <c r="B110" i="3" s="1"/>
  <c r="D109" i="3" s="1"/>
  <c r="E109" i="3" s="1"/>
  <c r="C16" i="1"/>
  <c r="C13" i="4"/>
  <c r="E12" i="4"/>
  <c r="C81" i="1"/>
  <c r="C6" i="4" s="1"/>
  <c r="E3" i="4"/>
  <c r="B66" i="3"/>
  <c r="B64" i="3" s="1"/>
  <c r="B24" i="3"/>
  <c r="B27" i="3" s="1"/>
  <c r="I88" i="3"/>
  <c r="I116" i="3" s="1"/>
  <c r="I74" i="3"/>
  <c r="I102" i="3" s="1"/>
  <c r="I130" i="3" s="1"/>
  <c r="B13" i="3"/>
  <c r="B9" i="3"/>
  <c r="D9" i="3" s="1"/>
  <c r="E9" i="3" s="1"/>
  <c r="C18" i="3" s="1"/>
  <c r="D134" i="3" s="1"/>
  <c r="B12" i="3"/>
  <c r="D11" i="3" s="1"/>
  <c r="E11" i="3" s="1"/>
  <c r="E18" i="3" s="1"/>
  <c r="F134" i="3" s="1"/>
  <c r="B8" i="3"/>
  <c r="B14" i="3"/>
  <c r="B11" i="3"/>
  <c r="D10" i="3" s="1"/>
  <c r="E10" i="3" s="1"/>
  <c r="D18" i="3" s="1"/>
  <c r="E134" i="3" s="1"/>
  <c r="B7" i="3"/>
  <c r="B80" i="3"/>
  <c r="B38" i="3"/>
  <c r="B94" i="3"/>
  <c r="B122" i="3"/>
  <c r="B52" i="3"/>
  <c r="G17" i="1" l="1"/>
  <c r="F17" i="1"/>
  <c r="C57" i="1" s="1"/>
  <c r="E17" i="1"/>
  <c r="D17" i="1"/>
  <c r="C26" i="1"/>
  <c r="H17" i="1"/>
  <c r="C17" i="1"/>
  <c r="D6" i="4"/>
  <c r="C127" i="1"/>
  <c r="D2" i="10"/>
  <c r="D4" i="9"/>
  <c r="AA22" i="10"/>
  <c r="AE21" i="10"/>
  <c r="E116" i="3"/>
  <c r="E33" i="1" s="1"/>
  <c r="E40" i="1" s="1"/>
  <c r="C66" i="1"/>
  <c r="B105" i="3"/>
  <c r="B112" i="3"/>
  <c r="B106" i="3"/>
  <c r="B111" i="3"/>
  <c r="B109" i="3"/>
  <c r="D108" i="3" s="1"/>
  <c r="E108" i="3" s="1"/>
  <c r="D116" i="3" s="1"/>
  <c r="E141" i="3" s="1"/>
  <c r="C79" i="1"/>
  <c r="B107" i="3"/>
  <c r="D107" i="3" s="1"/>
  <c r="E107" i="3" s="1"/>
  <c r="C116" i="3" s="1"/>
  <c r="E31" i="1" s="1"/>
  <c r="E38" i="1" s="1"/>
  <c r="J4" i="8"/>
  <c r="D2" i="4"/>
  <c r="C95" i="1"/>
  <c r="C14" i="4" s="1"/>
  <c r="K4" i="8"/>
  <c r="F12" i="4"/>
  <c r="E13" i="4"/>
  <c r="D25" i="1"/>
  <c r="E25" i="1" s="1"/>
  <c r="F3" i="4"/>
  <c r="D12" i="3"/>
  <c r="E12" i="3" s="1"/>
  <c r="F18" i="3" s="1"/>
  <c r="B21" i="3"/>
  <c r="D21" i="3" s="1"/>
  <c r="E21" i="3" s="1"/>
  <c r="A32" i="3" s="1"/>
  <c r="B135" i="3" s="1"/>
  <c r="B63" i="3"/>
  <c r="D63" i="3" s="1"/>
  <c r="E63" i="3" s="1"/>
  <c r="A74" i="3" s="1"/>
  <c r="B138" i="3" s="1"/>
  <c r="B67" i="3"/>
  <c r="D66" i="3" s="1"/>
  <c r="E66" i="3" s="1"/>
  <c r="D74" i="3" s="1"/>
  <c r="E138" i="3" s="1"/>
  <c r="B68" i="3"/>
  <c r="D67" i="3" s="1"/>
  <c r="E67" i="3" s="1"/>
  <c r="E74" i="3" s="1"/>
  <c r="F138" i="3" s="1"/>
  <c r="B28" i="3"/>
  <c r="D26" i="3" s="1"/>
  <c r="E26" i="3" s="1"/>
  <c r="F32" i="3" s="1"/>
  <c r="B70" i="3"/>
  <c r="B22" i="3"/>
  <c r="B25" i="3"/>
  <c r="D24" i="3" s="1"/>
  <c r="E24" i="3" s="1"/>
  <c r="D32" i="3" s="1"/>
  <c r="E135" i="3" s="1"/>
  <c r="B23" i="3"/>
  <c r="D23" i="3" s="1"/>
  <c r="E23" i="3" s="1"/>
  <c r="C32" i="3" s="1"/>
  <c r="D135" i="3" s="1"/>
  <c r="B26" i="3"/>
  <c r="D25" i="3" s="1"/>
  <c r="E25" i="3" s="1"/>
  <c r="E32" i="3" s="1"/>
  <c r="F135" i="3" s="1"/>
  <c r="B69" i="3"/>
  <c r="B65" i="3"/>
  <c r="D65" i="3" s="1"/>
  <c r="E65" i="3" s="1"/>
  <c r="C74" i="3" s="1"/>
  <c r="D138" i="3" s="1"/>
  <c r="B84" i="3"/>
  <c r="B83" i="3"/>
  <c r="B79" i="3"/>
  <c r="D79" i="3" s="1"/>
  <c r="E79" i="3" s="1"/>
  <c r="C88" i="3" s="1"/>
  <c r="D139" i="3" s="1"/>
  <c r="B82" i="3"/>
  <c r="D81" i="3" s="1"/>
  <c r="E81" i="3" s="1"/>
  <c r="E88" i="3" s="1"/>
  <c r="F139" i="3" s="1"/>
  <c r="B78" i="3"/>
  <c r="B81" i="3"/>
  <c r="D80" i="3" s="1"/>
  <c r="E80" i="3" s="1"/>
  <c r="D88" i="3" s="1"/>
  <c r="E139" i="3" s="1"/>
  <c r="B77" i="3"/>
  <c r="B123" i="3"/>
  <c r="D122" i="3" s="1"/>
  <c r="E122" i="3" s="1"/>
  <c r="D130" i="3" s="1"/>
  <c r="B119" i="3"/>
  <c r="B126" i="3"/>
  <c r="B125" i="3"/>
  <c r="B121" i="3"/>
  <c r="D121" i="3" s="1"/>
  <c r="E121" i="3" s="1"/>
  <c r="C130" i="3" s="1"/>
  <c r="B124" i="3"/>
  <c r="D123" i="3" s="1"/>
  <c r="E123" i="3" s="1"/>
  <c r="E130" i="3" s="1"/>
  <c r="B120" i="3"/>
  <c r="B36" i="3"/>
  <c r="B40" i="3"/>
  <c r="D39" i="3" s="1"/>
  <c r="E39" i="3" s="1"/>
  <c r="E46" i="3" s="1"/>
  <c r="F136" i="3" s="1"/>
  <c r="B39" i="3"/>
  <c r="D38" i="3" s="1"/>
  <c r="E38" i="3" s="1"/>
  <c r="D46" i="3" s="1"/>
  <c r="E136" i="3" s="1"/>
  <c r="B35" i="3"/>
  <c r="B41" i="3"/>
  <c r="B42" i="3"/>
  <c r="B37" i="3"/>
  <c r="D37" i="3" s="1"/>
  <c r="E37" i="3" s="1"/>
  <c r="C46" i="3" s="1"/>
  <c r="D136" i="3" s="1"/>
  <c r="D8" i="3"/>
  <c r="E8" i="3" s="1"/>
  <c r="B18" i="3" s="1"/>
  <c r="C134" i="3" s="1"/>
  <c r="D7" i="3"/>
  <c r="E7" i="3" s="1"/>
  <c r="A18" i="3" s="1"/>
  <c r="B134" i="3" s="1"/>
  <c r="B96" i="3"/>
  <c r="D95" i="3" s="1"/>
  <c r="E95" i="3" s="1"/>
  <c r="E102" i="3" s="1"/>
  <c r="B92" i="3"/>
  <c r="B95" i="3"/>
  <c r="D94" i="3" s="1"/>
  <c r="E94" i="3" s="1"/>
  <c r="D102" i="3" s="1"/>
  <c r="B91" i="3"/>
  <c r="B98" i="3"/>
  <c r="B97" i="3"/>
  <c r="B93" i="3"/>
  <c r="D93" i="3" s="1"/>
  <c r="E93" i="3" s="1"/>
  <c r="C102" i="3" s="1"/>
  <c r="B49" i="3"/>
  <c r="B53" i="3"/>
  <c r="D52" i="3" s="1"/>
  <c r="E52" i="3" s="1"/>
  <c r="D60" i="3" s="1"/>
  <c r="E137" i="3" s="1"/>
  <c r="B56" i="3"/>
  <c r="B55" i="3"/>
  <c r="B51" i="3"/>
  <c r="D51" i="3" s="1"/>
  <c r="E51" i="3" s="1"/>
  <c r="C60" i="3" s="1"/>
  <c r="D137" i="3" s="1"/>
  <c r="B54" i="3"/>
  <c r="D53" i="3" s="1"/>
  <c r="E53" i="3" s="1"/>
  <c r="E60" i="3" s="1"/>
  <c r="F137" i="3" s="1"/>
  <c r="B50" i="3"/>
  <c r="C61" i="1" l="1"/>
  <c r="C59" i="1"/>
  <c r="D7" i="9"/>
  <c r="C67" i="1"/>
  <c r="K8" i="8" s="1"/>
  <c r="F141" i="3"/>
  <c r="C51" i="1"/>
  <c r="D26" i="1"/>
  <c r="C60" i="1"/>
  <c r="E6" i="4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D8" i="9"/>
  <c r="D14" i="4"/>
  <c r="E14" i="4" s="1"/>
  <c r="F14" i="4" s="1"/>
  <c r="G14" i="4" s="1"/>
  <c r="H14" i="4" s="1"/>
  <c r="I14" i="4" s="1"/>
  <c r="J14" i="4" s="1"/>
  <c r="K14" i="4" s="1"/>
  <c r="L14" i="4" s="1"/>
  <c r="M14" i="4" s="1"/>
  <c r="N14" i="4" s="1"/>
  <c r="O14" i="4" s="1"/>
  <c r="P14" i="4" s="1"/>
  <c r="Q14" i="4" s="1"/>
  <c r="R14" i="4" s="1"/>
  <c r="S14" i="4" s="1"/>
  <c r="T14" i="4" s="1"/>
  <c r="U14" i="4" s="1"/>
  <c r="V14" i="4" s="1"/>
  <c r="W14" i="4" s="1"/>
  <c r="X14" i="4" s="1"/>
  <c r="Y14" i="4" s="1"/>
  <c r="Z14" i="4" s="1"/>
  <c r="AA14" i="4" s="1"/>
  <c r="AB14" i="4" s="1"/>
  <c r="AC14" i="4" s="1"/>
  <c r="AD14" i="4" s="1"/>
  <c r="AE14" i="4" s="1"/>
  <c r="AF14" i="4" s="1"/>
  <c r="AG14" i="4" s="1"/>
  <c r="AH14" i="4" s="1"/>
  <c r="AI14" i="4" s="1"/>
  <c r="AJ14" i="4" s="1"/>
  <c r="AK14" i="4" s="1"/>
  <c r="AL14" i="4" s="1"/>
  <c r="AM14" i="4" s="1"/>
  <c r="AN14" i="4" s="1"/>
  <c r="AO14" i="4" s="1"/>
  <c r="AP14" i="4" s="1"/>
  <c r="AE22" i="10"/>
  <c r="AI21" i="10"/>
  <c r="J7" i="8"/>
  <c r="K7" i="8"/>
  <c r="D106" i="3"/>
  <c r="E106" i="3" s="1"/>
  <c r="B116" i="3" s="1"/>
  <c r="E30" i="1" s="1"/>
  <c r="E37" i="1" s="1"/>
  <c r="D105" i="3"/>
  <c r="E105" i="3" s="1"/>
  <c r="A116" i="3" s="1"/>
  <c r="E29" i="1" s="1"/>
  <c r="E36" i="1" s="1"/>
  <c r="D110" i="3"/>
  <c r="E110" i="3" s="1"/>
  <c r="F116" i="3" s="1"/>
  <c r="E32" i="1"/>
  <c r="E39" i="1" s="1"/>
  <c r="F32" i="1"/>
  <c r="F39" i="1" s="1"/>
  <c r="D46" i="1"/>
  <c r="E46" i="1" s="1"/>
  <c r="F33" i="1"/>
  <c r="F40" i="1" s="1"/>
  <c r="D47" i="1"/>
  <c r="E47" i="1" s="1"/>
  <c r="F31" i="1"/>
  <c r="F38" i="1" s="1"/>
  <c r="D45" i="1"/>
  <c r="E45" i="1" s="1"/>
  <c r="D141" i="3"/>
  <c r="G12" i="4"/>
  <c r="F13" i="4"/>
  <c r="G3" i="4"/>
  <c r="F142" i="3"/>
  <c r="D142" i="3"/>
  <c r="D40" i="3"/>
  <c r="E40" i="3" s="1"/>
  <c r="F46" i="3" s="1"/>
  <c r="E142" i="3"/>
  <c r="D64" i="3"/>
  <c r="E64" i="3" s="1"/>
  <c r="B74" i="3" s="1"/>
  <c r="C138" i="3" s="1"/>
  <c r="F140" i="3"/>
  <c r="D33" i="1"/>
  <c r="D40" i="1" s="1"/>
  <c r="D140" i="3"/>
  <c r="D31" i="1"/>
  <c r="E140" i="3"/>
  <c r="D32" i="1"/>
  <c r="D82" i="3"/>
  <c r="E82" i="3" s="1"/>
  <c r="F88" i="3" s="1"/>
  <c r="D22" i="3"/>
  <c r="E22" i="3" s="1"/>
  <c r="B32" i="3" s="1"/>
  <c r="C135" i="3" s="1"/>
  <c r="D68" i="3"/>
  <c r="E68" i="3" s="1"/>
  <c r="F74" i="3" s="1"/>
  <c r="D124" i="3"/>
  <c r="E124" i="3" s="1"/>
  <c r="F130" i="3" s="1"/>
  <c r="D54" i="3"/>
  <c r="E54" i="3" s="1"/>
  <c r="F60" i="3" s="1"/>
  <c r="D78" i="3"/>
  <c r="E78" i="3" s="1"/>
  <c r="B88" i="3" s="1"/>
  <c r="C139" i="3" s="1"/>
  <c r="D77" i="3"/>
  <c r="E77" i="3" s="1"/>
  <c r="A88" i="3" s="1"/>
  <c r="B139" i="3" s="1"/>
  <c r="D119" i="3"/>
  <c r="E119" i="3" s="1"/>
  <c r="A130" i="3" s="1"/>
  <c r="D43" i="1" s="1"/>
  <c r="D120" i="3"/>
  <c r="E120" i="3" s="1"/>
  <c r="B130" i="3" s="1"/>
  <c r="D49" i="3"/>
  <c r="E49" i="3" s="1"/>
  <c r="A60" i="3" s="1"/>
  <c r="B137" i="3" s="1"/>
  <c r="D50" i="3"/>
  <c r="E50" i="3" s="1"/>
  <c r="B60" i="3" s="1"/>
  <c r="C137" i="3" s="1"/>
  <c r="D36" i="3"/>
  <c r="E36" i="3" s="1"/>
  <c r="B46" i="3" s="1"/>
  <c r="C136" i="3" s="1"/>
  <c r="D35" i="3"/>
  <c r="E35" i="3" s="1"/>
  <c r="A46" i="3" s="1"/>
  <c r="B136" i="3" s="1"/>
  <c r="D92" i="3"/>
  <c r="E92" i="3" s="1"/>
  <c r="B102" i="3" s="1"/>
  <c r="D91" i="3"/>
  <c r="E91" i="3" s="1"/>
  <c r="A102" i="3" s="1"/>
  <c r="D96" i="3"/>
  <c r="E96" i="3" s="1"/>
  <c r="F102" i="3" s="1"/>
  <c r="C49" i="1" l="1"/>
  <c r="D51" i="1"/>
  <c r="F6" i="4"/>
  <c r="C140" i="1"/>
  <c r="D16" i="9"/>
  <c r="AI22" i="10"/>
  <c r="AM21" i="10"/>
  <c r="J8" i="8"/>
  <c r="C141" i="3"/>
  <c r="B141" i="3"/>
  <c r="F30" i="1"/>
  <c r="F37" i="1" s="1"/>
  <c r="D44" i="1"/>
  <c r="E44" i="1" s="1"/>
  <c r="D39" i="1"/>
  <c r="G39" i="1" s="1"/>
  <c r="G32" i="1"/>
  <c r="F46" i="1" s="1"/>
  <c r="D38" i="1"/>
  <c r="G38" i="1" s="1"/>
  <c r="G31" i="1"/>
  <c r="C76" i="1"/>
  <c r="B142" i="3"/>
  <c r="F29" i="1"/>
  <c r="F36" i="1" s="1"/>
  <c r="H12" i="4"/>
  <c r="G13" i="4"/>
  <c r="J16" i="8"/>
  <c r="K16" i="8"/>
  <c r="E21" i="4"/>
  <c r="D21" i="4"/>
  <c r="H3" i="4"/>
  <c r="C142" i="3"/>
  <c r="B140" i="3"/>
  <c r="D29" i="1"/>
  <c r="D36" i="1" s="1"/>
  <c r="C140" i="3"/>
  <c r="D30" i="1"/>
  <c r="D49" i="1" l="1"/>
  <c r="C56" i="1"/>
  <c r="F45" i="1"/>
  <c r="G6" i="4"/>
  <c r="AM22" i="10"/>
  <c r="AQ21" i="10"/>
  <c r="D37" i="1"/>
  <c r="G37" i="1" s="1"/>
  <c r="C78" i="1" s="1"/>
  <c r="G30" i="1"/>
  <c r="C50" i="1" s="1"/>
  <c r="C77" i="1"/>
  <c r="I12" i="4"/>
  <c r="H13" i="4"/>
  <c r="E43" i="1"/>
  <c r="I3" i="4"/>
  <c r="D50" i="1" l="1"/>
  <c r="C52" i="1"/>
  <c r="D52" i="1" s="1"/>
  <c r="C58" i="1"/>
  <c r="H6" i="4"/>
  <c r="C7" i="4"/>
  <c r="D14" i="9"/>
  <c r="AU21" i="10"/>
  <c r="AQ22" i="10"/>
  <c r="C75" i="1"/>
  <c r="D15" i="9"/>
  <c r="F44" i="1"/>
  <c r="J12" i="4"/>
  <c r="I13" i="4"/>
  <c r="J14" i="8"/>
  <c r="K14" i="8"/>
  <c r="C80" i="1"/>
  <c r="C99" i="1" s="1"/>
  <c r="F21" i="4"/>
  <c r="G21" i="4"/>
  <c r="J3" i="4"/>
  <c r="I6" i="4" l="1"/>
  <c r="D7" i="4"/>
  <c r="C8" i="4"/>
  <c r="C82" i="1"/>
  <c r="C84" i="1" s="1"/>
  <c r="D18" i="9" s="1"/>
  <c r="AU22" i="10"/>
  <c r="AY21" i="10"/>
  <c r="J15" i="8"/>
  <c r="D17" i="9"/>
  <c r="K15" i="8"/>
  <c r="K12" i="4"/>
  <c r="J13" i="4"/>
  <c r="C9" i="4"/>
  <c r="C40" i="4" s="1"/>
  <c r="H21" i="4"/>
  <c r="K3" i="4"/>
  <c r="K18" i="8" l="1"/>
  <c r="J18" i="8"/>
  <c r="E7" i="4"/>
  <c r="D8" i="4"/>
  <c r="J6" i="4"/>
  <c r="BC21" i="10"/>
  <c r="AY22" i="10"/>
  <c r="C11" i="4"/>
  <c r="C15" i="4" s="1"/>
  <c r="J17" i="8"/>
  <c r="K17" i="8"/>
  <c r="L12" i="4"/>
  <c r="K13" i="4"/>
  <c r="D9" i="4"/>
  <c r="D40" i="4" s="1"/>
  <c r="C21" i="4"/>
  <c r="L3" i="4"/>
  <c r="K6" i="4" l="1"/>
  <c r="F7" i="4"/>
  <c r="E8" i="4"/>
  <c r="BG21" i="10"/>
  <c r="BC22" i="10"/>
  <c r="D11" i="4"/>
  <c r="D15" i="4" s="1"/>
  <c r="D23" i="4" s="1"/>
  <c r="M12" i="4"/>
  <c r="L13" i="4"/>
  <c r="E9" i="4"/>
  <c r="E40" i="4" s="1"/>
  <c r="C23" i="4"/>
  <c r="C112" i="1" s="1"/>
  <c r="C113" i="1" s="1"/>
  <c r="C114" i="1" s="1"/>
  <c r="C128" i="1" s="1"/>
  <c r="I21" i="4"/>
  <c r="M3" i="4"/>
  <c r="G7" i="4" l="1"/>
  <c r="F8" i="4"/>
  <c r="L6" i="4"/>
  <c r="BG22" i="10"/>
  <c r="BK21" i="10"/>
  <c r="F9" i="4"/>
  <c r="F40" i="4" s="1"/>
  <c r="E11" i="4"/>
  <c r="E15" i="4" s="1"/>
  <c r="E23" i="4" s="1"/>
  <c r="N12" i="4"/>
  <c r="M13" i="4"/>
  <c r="C24" i="4"/>
  <c r="D24" i="4" s="1"/>
  <c r="E24" i="4" s="1"/>
  <c r="F24" i="4" s="1"/>
  <c r="G24" i="4" s="1"/>
  <c r="H24" i="4" s="1"/>
  <c r="I24" i="4" s="1"/>
  <c r="J24" i="4" s="1"/>
  <c r="K24" i="4" s="1"/>
  <c r="L24" i="4" s="1"/>
  <c r="C69" i="1"/>
  <c r="J21" i="4"/>
  <c r="N3" i="4"/>
  <c r="M6" i="4" l="1"/>
  <c r="H7" i="4"/>
  <c r="G8" i="4"/>
  <c r="BO21" i="10"/>
  <c r="BK22" i="10"/>
  <c r="C70" i="1"/>
  <c r="C71" i="1" s="1"/>
  <c r="D10" i="9"/>
  <c r="F11" i="4"/>
  <c r="F15" i="4" s="1"/>
  <c r="F23" i="4" s="1"/>
  <c r="G9" i="4"/>
  <c r="D69" i="1"/>
  <c r="O12" i="4"/>
  <c r="N13" i="4"/>
  <c r="C26" i="4"/>
  <c r="C28" i="4" s="1"/>
  <c r="C6" i="10" s="1"/>
  <c r="D26" i="4"/>
  <c r="D28" i="4" s="1"/>
  <c r="D6" i="10" s="1"/>
  <c r="H21" i="10" s="1" a="1"/>
  <c r="H21" i="10" s="1"/>
  <c r="E26" i="4"/>
  <c r="E28" i="4" s="1"/>
  <c r="E6" i="10" s="1"/>
  <c r="L21" i="10" s="1" a="1"/>
  <c r="L21" i="10" s="1"/>
  <c r="K21" i="4"/>
  <c r="O3" i="4"/>
  <c r="D70" i="1" l="1"/>
  <c r="C63" i="1"/>
  <c r="C62" i="1"/>
  <c r="I7" i="4"/>
  <c r="H8" i="4"/>
  <c r="N6" i="4"/>
  <c r="D11" i="9"/>
  <c r="D12" i="9" s="1"/>
  <c r="H9" i="4"/>
  <c r="H40" i="4" s="1"/>
  <c r="G40" i="4"/>
  <c r="G25" i="10"/>
  <c r="K25" i="10"/>
  <c r="D21" i="10" a="1"/>
  <c r="D21" i="10" s="1"/>
  <c r="BO22" i="10"/>
  <c r="BS21" i="10"/>
  <c r="G11" i="4"/>
  <c r="G15" i="4" s="1"/>
  <c r="G23" i="4" s="1"/>
  <c r="P12" i="4"/>
  <c r="O13" i="4"/>
  <c r="J10" i="8"/>
  <c r="K10" i="8"/>
  <c r="C33" i="4"/>
  <c r="C35" i="4" s="1"/>
  <c r="C10" i="10" s="1"/>
  <c r="F26" i="4"/>
  <c r="F28" i="4" s="1"/>
  <c r="F6" i="10" s="1"/>
  <c r="P21" i="10" s="1" a="1"/>
  <c r="P21" i="10" s="1"/>
  <c r="L21" i="4"/>
  <c r="P3" i="4"/>
  <c r="O6" i="4" l="1"/>
  <c r="J7" i="4"/>
  <c r="I8" i="4"/>
  <c r="C25" i="10"/>
  <c r="I9" i="4"/>
  <c r="I40" i="4" s="1"/>
  <c r="L25" i="10"/>
  <c r="K29" i="10"/>
  <c r="O25" i="10"/>
  <c r="H11" i="4"/>
  <c r="H15" i="4" s="1"/>
  <c r="H23" i="4" s="1"/>
  <c r="H26" i="4" s="1"/>
  <c r="H28" i="4" s="1"/>
  <c r="H6" i="10" s="1"/>
  <c r="X21" i="10" s="1" a="1"/>
  <c r="X21" i="10" s="1"/>
  <c r="H25" i="10"/>
  <c r="G29" i="10"/>
  <c r="BS22" i="10"/>
  <c r="BW21" i="10"/>
  <c r="Q12" i="4"/>
  <c r="P13" i="4"/>
  <c r="J11" i="8"/>
  <c r="J30" i="8"/>
  <c r="K11" i="8"/>
  <c r="K30" i="8"/>
  <c r="C158" i="1"/>
  <c r="D30" i="9" s="1"/>
  <c r="C31" i="4"/>
  <c r="C32" i="4" s="1"/>
  <c r="E33" i="4"/>
  <c r="E35" i="4" s="1"/>
  <c r="E10" i="10" s="1"/>
  <c r="G26" i="4"/>
  <c r="G28" i="4" s="1"/>
  <c r="G6" i="10" s="1"/>
  <c r="D33" i="4"/>
  <c r="D35" i="4" s="1"/>
  <c r="D10" i="10" s="1"/>
  <c r="M21" i="4"/>
  <c r="Q3" i="4"/>
  <c r="K7" i="4" l="1"/>
  <c r="J8" i="4"/>
  <c r="P6" i="4"/>
  <c r="T21" i="10" a="1"/>
  <c r="T21" i="10" s="1"/>
  <c r="S25" i="10" s="1"/>
  <c r="J9" i="4"/>
  <c r="J40" i="4" s="1"/>
  <c r="H29" i="10"/>
  <c r="I25" i="10"/>
  <c r="L29" i="10"/>
  <c r="M25" i="10"/>
  <c r="W25" i="10"/>
  <c r="P25" i="10"/>
  <c r="O29" i="10"/>
  <c r="I11" i="4"/>
  <c r="I15" i="4" s="1"/>
  <c r="I23" i="4" s="1"/>
  <c r="I26" i="4" s="1"/>
  <c r="I28" i="4" s="1"/>
  <c r="I6" i="10" s="1"/>
  <c r="AB21" i="10" s="1" a="1"/>
  <c r="AB21" i="10" s="1"/>
  <c r="C29" i="10"/>
  <c r="D25" i="10"/>
  <c r="BW22" i="10"/>
  <c r="CA21" i="10"/>
  <c r="R12" i="4"/>
  <c r="Q13" i="4"/>
  <c r="J12" i="8"/>
  <c r="K12" i="8"/>
  <c r="C36" i="4"/>
  <c r="D31" i="4" s="1"/>
  <c r="D32" i="4" s="1"/>
  <c r="F33" i="4"/>
  <c r="F35" i="4" s="1"/>
  <c r="F10" i="10" s="1"/>
  <c r="N21" i="4"/>
  <c r="R3" i="4"/>
  <c r="Q6" i="4" l="1"/>
  <c r="L7" i="4"/>
  <c r="K8" i="4"/>
  <c r="K9" i="4"/>
  <c r="K40" i="4" s="1"/>
  <c r="J11" i="4"/>
  <c r="J15" i="4" s="1"/>
  <c r="J23" i="4" s="1"/>
  <c r="J26" i="4" s="1"/>
  <c r="J28" i="4" s="1"/>
  <c r="J6" i="10" s="1"/>
  <c r="AA25" i="10"/>
  <c r="E25" i="10"/>
  <c r="D29" i="10"/>
  <c r="W29" i="10"/>
  <c r="X25" i="10"/>
  <c r="M29" i="10"/>
  <c r="N25" i="10"/>
  <c r="N29" i="10" s="1"/>
  <c r="T25" i="10"/>
  <c r="S29" i="10"/>
  <c r="I29" i="10"/>
  <c r="J25" i="10"/>
  <c r="J29" i="10" s="1"/>
  <c r="Q25" i="10"/>
  <c r="P29" i="10"/>
  <c r="CA22" i="10"/>
  <c r="S12" i="4"/>
  <c r="R13" i="4"/>
  <c r="D36" i="4"/>
  <c r="E31" i="4" s="1"/>
  <c r="E32" i="4" s="1"/>
  <c r="G33" i="4"/>
  <c r="G35" i="4" s="1"/>
  <c r="G10" i="10" s="1"/>
  <c r="O21" i="4"/>
  <c r="P21" i="4"/>
  <c r="S3" i="4"/>
  <c r="M7" i="4" l="1"/>
  <c r="L8" i="4"/>
  <c r="R6" i="4"/>
  <c r="K11" i="4"/>
  <c r="K15" i="4" s="1"/>
  <c r="K23" i="4" s="1"/>
  <c r="L9" i="4"/>
  <c r="L40" i="4" s="1"/>
  <c r="AF21" i="10" a="1"/>
  <c r="AF21" i="10" s="1"/>
  <c r="AE25" i="10" s="1"/>
  <c r="Q29" i="10"/>
  <c r="R25" i="10"/>
  <c r="R29" i="10" s="1"/>
  <c r="Y25" i="10"/>
  <c r="X29" i="10"/>
  <c r="E29" i="10"/>
  <c r="F25" i="10"/>
  <c r="F29" i="10" s="1"/>
  <c r="U25" i="10"/>
  <c r="T29" i="10"/>
  <c r="AA29" i="10"/>
  <c r="AB25" i="10"/>
  <c r="T12" i="4"/>
  <c r="S13" i="4"/>
  <c r="E36" i="4"/>
  <c r="F31" i="4" s="1"/>
  <c r="F32" i="4" s="1"/>
  <c r="H33" i="4"/>
  <c r="H35" i="4" s="1"/>
  <c r="H10" i="10" s="1"/>
  <c r="T3" i="4"/>
  <c r="S6" i="4" l="1"/>
  <c r="N7" i="4"/>
  <c r="M8" i="4"/>
  <c r="M9" i="4"/>
  <c r="M40" i="4" s="1"/>
  <c r="L11" i="4"/>
  <c r="L15" i="4" s="1"/>
  <c r="L23" i="4" s="1"/>
  <c r="C122" i="1" s="1"/>
  <c r="C123" i="1" s="1"/>
  <c r="C124" i="1" s="1"/>
  <c r="C129" i="1" s="1"/>
  <c r="C132" i="1" s="1"/>
  <c r="Y29" i="10"/>
  <c r="Z25" i="10"/>
  <c r="Z29" i="10" s="1"/>
  <c r="AC25" i="10"/>
  <c r="AB29" i="10"/>
  <c r="U29" i="10"/>
  <c r="V25" i="10"/>
  <c r="V29" i="10" s="1"/>
  <c r="AF25" i="10"/>
  <c r="AE29" i="10"/>
  <c r="U12" i="4"/>
  <c r="T13" i="4"/>
  <c r="F36" i="4"/>
  <c r="G31" i="4" s="1"/>
  <c r="G32" i="4" s="1"/>
  <c r="K26" i="4"/>
  <c r="K28" i="4" s="1"/>
  <c r="K6" i="10" s="1"/>
  <c r="I33" i="4"/>
  <c r="I35" i="4" s="1"/>
  <c r="I10" i="10" s="1"/>
  <c r="R21" i="4"/>
  <c r="Q21" i="4"/>
  <c r="U3" i="4"/>
  <c r="N9" i="4" l="1"/>
  <c r="N40" i="4" s="1"/>
  <c r="T6" i="4"/>
  <c r="O7" i="4"/>
  <c r="N8" i="4"/>
  <c r="M11" i="4"/>
  <c r="M15" i="4" s="1"/>
  <c r="M23" i="4" s="1"/>
  <c r="L26" i="4"/>
  <c r="L28" i="4" s="1"/>
  <c r="L6" i="10" s="1"/>
  <c r="AN21" i="10" s="1" a="1"/>
  <c r="AN21" i="10" s="1"/>
  <c r="AM25" i="10" s="1"/>
  <c r="C145" i="1"/>
  <c r="AJ21" i="10" a="1"/>
  <c r="AJ21" i="10" s="1"/>
  <c r="AI25" i="10" s="1"/>
  <c r="AG25" i="10"/>
  <c r="AF29" i="10"/>
  <c r="AC29" i="10"/>
  <c r="AD25" i="10"/>
  <c r="AD29" i="10" s="1"/>
  <c r="C133" i="1"/>
  <c r="L34" i="4"/>
  <c r="L7" i="10" s="1"/>
  <c r="V12" i="4"/>
  <c r="U13" i="4"/>
  <c r="G36" i="4"/>
  <c r="M25" i="4"/>
  <c r="N25" i="4" s="1"/>
  <c r="O25" i="4" s="1"/>
  <c r="P25" i="4" s="1"/>
  <c r="Q25" i="4" s="1"/>
  <c r="R25" i="4" s="1"/>
  <c r="S25" i="4" s="1"/>
  <c r="T25" i="4" s="1"/>
  <c r="U25" i="4" s="1"/>
  <c r="V25" i="4" s="1"/>
  <c r="J33" i="4"/>
  <c r="J35" i="4" s="1"/>
  <c r="J10" i="10" s="1"/>
  <c r="S21" i="4"/>
  <c r="V3" i="4"/>
  <c r="N11" i="4" l="1"/>
  <c r="N15" i="4" s="1"/>
  <c r="N23" i="4" s="1"/>
  <c r="O9" i="4"/>
  <c r="O40" i="4" s="1"/>
  <c r="U6" i="4"/>
  <c r="P7" i="4"/>
  <c r="O8" i="4"/>
  <c r="AN25" i="10"/>
  <c r="AM29" i="10"/>
  <c r="AP26" i="10"/>
  <c r="C16" i="10"/>
  <c r="W7" i="10"/>
  <c r="CF26" i="10" s="1"/>
  <c r="AJ25" i="10"/>
  <c r="AI29" i="10"/>
  <c r="AG29" i="10"/>
  <c r="AH25" i="10"/>
  <c r="AH29" i="10" s="1"/>
  <c r="W12" i="4"/>
  <c r="V13" i="4"/>
  <c r="H31" i="4"/>
  <c r="H32" i="4" s="1"/>
  <c r="M26" i="4"/>
  <c r="M28" i="4" s="1"/>
  <c r="M6" i="10" s="1"/>
  <c r="K33" i="4"/>
  <c r="K35" i="4" s="1"/>
  <c r="K10" i="10" s="1"/>
  <c r="W3" i="4"/>
  <c r="O11" i="4" l="1"/>
  <c r="O15" i="4" s="1"/>
  <c r="O23" i="4" s="1"/>
  <c r="O26" i="4" s="1"/>
  <c r="O28" i="4" s="1"/>
  <c r="O6" i="10" s="1"/>
  <c r="AZ21" i="10" s="1" a="1"/>
  <c r="AZ21" i="10" s="1"/>
  <c r="P9" i="4"/>
  <c r="P40" i="4" s="1"/>
  <c r="Q7" i="4"/>
  <c r="P8" i="4"/>
  <c r="V6" i="4"/>
  <c r="AR21" i="10" a="1"/>
  <c r="AR21" i="10" s="1"/>
  <c r="AQ25" i="10" s="1"/>
  <c r="AN29" i="10"/>
  <c r="AO25" i="10"/>
  <c r="AK25" i="10"/>
  <c r="AJ29" i="10"/>
  <c r="D16" i="10"/>
  <c r="CE26" i="10"/>
  <c r="C35" i="10"/>
  <c r="X12" i="4"/>
  <c r="W13" i="4"/>
  <c r="H36" i="4"/>
  <c r="I31" i="4" s="1"/>
  <c r="I32" i="4" s="1"/>
  <c r="N26" i="4"/>
  <c r="N28" i="4" s="1"/>
  <c r="N6" i="10" s="1"/>
  <c r="AV21" i="10" s="1" a="1"/>
  <c r="AV21" i="10" s="1"/>
  <c r="L33" i="4"/>
  <c r="T21" i="4"/>
  <c r="X3" i="4"/>
  <c r="P11" i="4" l="1"/>
  <c r="P15" i="4" s="1"/>
  <c r="P23" i="4" s="1"/>
  <c r="Q9" i="4"/>
  <c r="Q40" i="4" s="1"/>
  <c r="W6" i="4"/>
  <c r="C138" i="1"/>
  <c r="R7" i="4"/>
  <c r="Q8" i="4"/>
  <c r="AK29" i="10"/>
  <c r="AL25" i="10"/>
  <c r="AL29" i="10" s="1"/>
  <c r="AR25" i="10"/>
  <c r="AQ29" i="10"/>
  <c r="AY25" i="10"/>
  <c r="AU25" i="10"/>
  <c r="D35" i="10"/>
  <c r="AO29" i="10"/>
  <c r="AP25" i="10"/>
  <c r="AP29" i="10" s="1"/>
  <c r="Y12" i="4"/>
  <c r="X13" i="4"/>
  <c r="M33" i="4"/>
  <c r="M35" i="4" s="1"/>
  <c r="M10" i="10" s="1"/>
  <c r="V21" i="4"/>
  <c r="U21" i="4"/>
  <c r="Y3" i="4"/>
  <c r="Q11" i="4" l="1"/>
  <c r="Q15" i="4" s="1"/>
  <c r="Q23" i="4" s="1"/>
  <c r="R9" i="4"/>
  <c r="R40" i="4" s="1"/>
  <c r="X6" i="4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W10" i="4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S7" i="4"/>
  <c r="R8" i="4"/>
  <c r="C139" i="1"/>
  <c r="C141" i="1" s="1"/>
  <c r="AY29" i="10"/>
  <c r="AZ25" i="10"/>
  <c r="AU29" i="10"/>
  <c r="AV25" i="10"/>
  <c r="AS25" i="10"/>
  <c r="AR29" i="10"/>
  <c r="Z12" i="4"/>
  <c r="Y13" i="4"/>
  <c r="I36" i="4"/>
  <c r="J31" i="4" s="1"/>
  <c r="J32" i="4" s="1"/>
  <c r="N33" i="4"/>
  <c r="N35" i="4" s="1"/>
  <c r="N10" i="10" s="1"/>
  <c r="P26" i="4"/>
  <c r="P28" i="4" s="1"/>
  <c r="P6" i="10" s="1"/>
  <c r="BD21" i="10" s="1" a="1"/>
  <c r="BD21" i="10" s="1"/>
  <c r="W21" i="4"/>
  <c r="Z3" i="4"/>
  <c r="R11" i="4" l="1"/>
  <c r="R15" i="4" s="1"/>
  <c r="R23" i="4" s="1"/>
  <c r="S9" i="4"/>
  <c r="S40" i="4" s="1"/>
  <c r="T7" i="4"/>
  <c r="S8" i="4"/>
  <c r="BC25" i="10"/>
  <c r="AS29" i="10"/>
  <c r="AT25" i="10"/>
  <c r="AT29" i="10" s="1"/>
  <c r="AW25" i="10"/>
  <c r="AV29" i="10"/>
  <c r="AZ29" i="10"/>
  <c r="BA25" i="10"/>
  <c r="AA12" i="4"/>
  <c r="Z13" i="4"/>
  <c r="Q26" i="4"/>
  <c r="Q28" i="4" s="1"/>
  <c r="Q6" i="10" s="1"/>
  <c r="BH21" i="10" s="1" a="1"/>
  <c r="BH21" i="10" s="1"/>
  <c r="X21" i="4"/>
  <c r="AA3" i="4"/>
  <c r="S11" i="4" l="1"/>
  <c r="S15" i="4" s="1"/>
  <c r="S23" i="4" s="1"/>
  <c r="T9" i="4"/>
  <c r="T40" i="4" s="1"/>
  <c r="U7" i="4"/>
  <c r="T8" i="4"/>
  <c r="BG25" i="10"/>
  <c r="AW29" i="10"/>
  <c r="AX25" i="10"/>
  <c r="AX29" i="10" s="1"/>
  <c r="BA29" i="10"/>
  <c r="BB25" i="10"/>
  <c r="BB29" i="10" s="1"/>
  <c r="BD25" i="10"/>
  <c r="BC29" i="10"/>
  <c r="AB12" i="4"/>
  <c r="AA13" i="4"/>
  <c r="J36" i="4"/>
  <c r="K31" i="4" s="1"/>
  <c r="K32" i="4" s="1"/>
  <c r="P33" i="4"/>
  <c r="P35" i="4" s="1"/>
  <c r="P10" i="10" s="1"/>
  <c r="R26" i="4"/>
  <c r="R28" i="4" s="1"/>
  <c r="R6" i="10" s="1"/>
  <c r="BL21" i="10" s="1" a="1"/>
  <c r="BL21" i="10" s="1"/>
  <c r="O33" i="4"/>
  <c r="O35" i="4" s="1"/>
  <c r="O10" i="10" s="1"/>
  <c r="AB3" i="4"/>
  <c r="T11" i="4" l="1"/>
  <c r="T15" i="4" s="1"/>
  <c r="T23" i="4" s="1"/>
  <c r="T26" i="4" s="1"/>
  <c r="T28" i="4" s="1"/>
  <c r="T6" i="10" s="1"/>
  <c r="BT21" i="10" s="1" a="1"/>
  <c r="BT21" i="10" s="1"/>
  <c r="U9" i="4"/>
  <c r="U40" i="4" s="1"/>
  <c r="V7" i="4"/>
  <c r="V8" i="4" s="1"/>
  <c r="U8" i="4"/>
  <c r="BK25" i="10"/>
  <c r="BE25" i="10"/>
  <c r="BD29" i="10"/>
  <c r="BH25" i="10"/>
  <c r="BG29" i="10"/>
  <c r="AC12" i="4"/>
  <c r="AB13" i="4"/>
  <c r="S26" i="4"/>
  <c r="S28" i="4" s="1"/>
  <c r="S6" i="10" s="1"/>
  <c r="BP21" i="10" s="1" a="1"/>
  <c r="BP21" i="10" s="1"/>
  <c r="Z21" i="4"/>
  <c r="Y21" i="4"/>
  <c r="AC3" i="4"/>
  <c r="U11" i="4" l="1"/>
  <c r="U15" i="4" s="1"/>
  <c r="U23" i="4" s="1"/>
  <c r="U26" i="4" s="1"/>
  <c r="U28" i="4" s="1"/>
  <c r="U6" i="10" s="1"/>
  <c r="BX21" i="10" s="1" a="1"/>
  <c r="BX21" i="10" s="1"/>
  <c r="V9" i="4"/>
  <c r="V40" i="4" s="1"/>
  <c r="C43" i="4" s="1"/>
  <c r="C85" i="1"/>
  <c r="D19" i="9" s="1"/>
  <c r="D31" i="9" s="1"/>
  <c r="BS25" i="10"/>
  <c r="BO25" i="10"/>
  <c r="BE29" i="10"/>
  <c r="BF25" i="10"/>
  <c r="BF29" i="10" s="1"/>
  <c r="BI25" i="10"/>
  <c r="BH29" i="10"/>
  <c r="BK29" i="10"/>
  <c r="BL25" i="10"/>
  <c r="AD12" i="4"/>
  <c r="AC13" i="4"/>
  <c r="K36" i="4"/>
  <c r="L31" i="4" s="1"/>
  <c r="L32" i="4" s="1"/>
  <c r="R33" i="4"/>
  <c r="R35" i="4" s="1"/>
  <c r="R10" i="10" s="1"/>
  <c r="S33" i="4"/>
  <c r="S35" i="4" s="1"/>
  <c r="S10" i="10" s="1"/>
  <c r="Q33" i="4"/>
  <c r="Q35" i="4" s="1"/>
  <c r="Q10" i="10" s="1"/>
  <c r="W11" i="4"/>
  <c r="AD3" i="4"/>
  <c r="V11" i="4" l="1"/>
  <c r="V15" i="4" s="1"/>
  <c r="V23" i="4" s="1"/>
  <c r="C41" i="4"/>
  <c r="BI29" i="10"/>
  <c r="BJ25" i="10"/>
  <c r="BJ29" i="10" s="1"/>
  <c r="BP25" i="10"/>
  <c r="BO29" i="10"/>
  <c r="BM25" i="10"/>
  <c r="BL29" i="10"/>
  <c r="BW25" i="10"/>
  <c r="BT25" i="10"/>
  <c r="BS29" i="10"/>
  <c r="AE12" i="4"/>
  <c r="AD13" i="4"/>
  <c r="K31" i="8"/>
  <c r="J19" i="8"/>
  <c r="J31" i="8"/>
  <c r="K19" i="8"/>
  <c r="C160" i="1"/>
  <c r="T33" i="4"/>
  <c r="T35" i="4" s="1"/>
  <c r="T10" i="10" s="1"/>
  <c r="X9" i="4"/>
  <c r="X11" i="4" s="1"/>
  <c r="AA21" i="4"/>
  <c r="AB21" i="4"/>
  <c r="AE3" i="4"/>
  <c r="BM29" i="10" l="1"/>
  <c r="BN25" i="10"/>
  <c r="BN29" i="10" s="1"/>
  <c r="BQ25" i="10"/>
  <c r="BP29" i="10"/>
  <c r="BW29" i="10"/>
  <c r="BX25" i="10"/>
  <c r="BU25" i="10"/>
  <c r="BT29" i="10"/>
  <c r="C142" i="1"/>
  <c r="C143" i="1" s="1"/>
  <c r="C144" i="1" s="1"/>
  <c r="C147" i="1" s="1"/>
  <c r="C149" i="1" s="1"/>
  <c r="AF12" i="4"/>
  <c r="AE13" i="4"/>
  <c r="V26" i="4"/>
  <c r="V28" i="4" s="1"/>
  <c r="V6" i="10" s="1"/>
  <c r="W15" i="4"/>
  <c r="W23" i="4" s="1"/>
  <c r="Y9" i="4"/>
  <c r="Y11" i="4" s="1"/>
  <c r="AC21" i="4"/>
  <c r="AF3" i="4"/>
  <c r="CB21" i="10" l="1" a="1"/>
  <c r="CB21" i="10" s="1"/>
  <c r="CA25" i="10" s="1"/>
  <c r="W6" i="10"/>
  <c r="CF25" i="10" s="1"/>
  <c r="C15" i="10"/>
  <c r="BU29" i="10"/>
  <c r="BV25" i="10"/>
  <c r="BV29" i="10" s="1"/>
  <c r="BQ29" i="10"/>
  <c r="BR25" i="10"/>
  <c r="BR29" i="10" s="1"/>
  <c r="BY25" i="10"/>
  <c r="BX29" i="10"/>
  <c r="AG12" i="4"/>
  <c r="AF13" i="4"/>
  <c r="U33" i="4"/>
  <c r="U35" i="4" s="1"/>
  <c r="U10" i="10" s="1"/>
  <c r="X15" i="4"/>
  <c r="X23" i="4" s="1"/>
  <c r="Z9" i="4"/>
  <c r="Z11" i="4" s="1"/>
  <c r="Y15" i="4"/>
  <c r="Y23" i="4" s="1"/>
  <c r="AD21" i="4"/>
  <c r="AG3" i="4"/>
  <c r="D15" i="10" l="1"/>
  <c r="BY29" i="10"/>
  <c r="BZ25" i="10"/>
  <c r="BZ29" i="10" s="1"/>
  <c r="CA29" i="10"/>
  <c r="CB25" i="10"/>
  <c r="AH12" i="4"/>
  <c r="AG13" i="4"/>
  <c r="V33" i="4"/>
  <c r="AA9" i="4"/>
  <c r="AA11" i="4" s="1"/>
  <c r="AH3" i="4"/>
  <c r="CC25" i="10" l="1"/>
  <c r="CB29" i="10"/>
  <c r="AI12" i="4"/>
  <c r="AH13" i="4"/>
  <c r="Z15" i="4"/>
  <c r="AB9" i="4"/>
  <c r="AB11" i="4" s="1"/>
  <c r="AA15" i="4"/>
  <c r="AA23" i="4" s="1"/>
  <c r="AE21" i="4"/>
  <c r="AI3" i="4"/>
  <c r="CC29" i="10" l="1"/>
  <c r="CD25" i="10"/>
  <c r="CE25" i="10" s="1"/>
  <c r="AJ12" i="4"/>
  <c r="AI13" i="4"/>
  <c r="Z23" i="4"/>
  <c r="AC9" i="4"/>
  <c r="AC11" i="4" s="1"/>
  <c r="AB15" i="4"/>
  <c r="AB23" i="4" s="1"/>
  <c r="AG21" i="4"/>
  <c r="AF21" i="4"/>
  <c r="AJ3" i="4"/>
  <c r="C34" i="10" l="1"/>
  <c r="D34" i="10" s="1"/>
  <c r="AK12" i="4"/>
  <c r="AJ13" i="4"/>
  <c r="AD9" i="4"/>
  <c r="AD11" i="4" s="1"/>
  <c r="AC15" i="4"/>
  <c r="AC23" i="4" s="1"/>
  <c r="AH21" i="4"/>
  <c r="AK3" i="4"/>
  <c r="AL12" i="4" l="1"/>
  <c r="AK13" i="4"/>
  <c r="AE9" i="4"/>
  <c r="AE11" i="4" s="1"/>
  <c r="AD15" i="4"/>
  <c r="AD23" i="4" s="1"/>
  <c r="AI21" i="4"/>
  <c r="AL3" i="4"/>
  <c r="AM12" i="4" l="1"/>
  <c r="AL13" i="4"/>
  <c r="AF9" i="4"/>
  <c r="AF11" i="4" s="1"/>
  <c r="AE15" i="4"/>
  <c r="AE23" i="4" s="1"/>
  <c r="AM3" i="4"/>
  <c r="AN12" i="4" l="1"/>
  <c r="AM13" i="4"/>
  <c r="AG9" i="4"/>
  <c r="AG11" i="4" s="1"/>
  <c r="AF15" i="4"/>
  <c r="AF23" i="4" s="1"/>
  <c r="AK21" i="4"/>
  <c r="AJ21" i="4"/>
  <c r="AN3" i="4"/>
  <c r="AO12" i="4" l="1"/>
  <c r="AN13" i="4"/>
  <c r="AH9" i="4"/>
  <c r="AH11" i="4" s="1"/>
  <c r="AG15" i="4"/>
  <c r="AG23" i="4" s="1"/>
  <c r="AL21" i="4"/>
  <c r="AO3" i="4"/>
  <c r="AP12" i="4" l="1"/>
  <c r="AP13" i="4" s="1"/>
  <c r="AO13" i="4"/>
  <c r="AI9" i="4"/>
  <c r="AI11" i="4" s="1"/>
  <c r="AM21" i="4"/>
  <c r="AP3" i="4"/>
  <c r="AH15" i="4" l="1"/>
  <c r="AH23" i="4" s="1"/>
  <c r="AJ9" i="4"/>
  <c r="AJ11" i="4" s="1"/>
  <c r="AI15" i="4"/>
  <c r="AI23" i="4" s="1"/>
  <c r="AK9" i="4" l="1"/>
  <c r="AK11" i="4" s="1"/>
  <c r="AO21" i="4"/>
  <c r="AN21" i="4"/>
  <c r="AJ15" i="4" l="1"/>
  <c r="AJ23" i="4" s="1"/>
  <c r="AL9" i="4"/>
  <c r="AL11" i="4" s="1"/>
  <c r="AK15" i="4"/>
  <c r="AK23" i="4" s="1"/>
  <c r="AM9" i="4" l="1"/>
  <c r="AM11" i="4" s="1"/>
  <c r="AL15" i="4"/>
  <c r="AL23" i="4" s="1"/>
  <c r="AP21" i="4"/>
  <c r="AN9" i="4" l="1"/>
  <c r="AN11" i="4" s="1"/>
  <c r="AM15" i="4"/>
  <c r="AM23" i="4" s="1"/>
  <c r="J27" i="8" l="1"/>
  <c r="K27" i="8"/>
  <c r="AO9" i="4"/>
  <c r="AO11" i="4" s="1"/>
  <c r="AN15" i="4" l="1"/>
  <c r="AN23" i="4" s="1"/>
  <c r="AP9" i="4"/>
  <c r="AP11" i="4" s="1"/>
  <c r="AO15" i="4"/>
  <c r="AO23" i="4" s="1"/>
  <c r="AP15" i="4" l="1"/>
  <c r="AP23" i="4" s="1"/>
  <c r="L35" i="4"/>
  <c r="L10" i="10" s="1"/>
  <c r="L36" i="4"/>
  <c r="M31" i="4" s="1"/>
  <c r="M32" i="4" l="1"/>
  <c r="M36" i="4" s="1"/>
  <c r="N31" i="4" s="1"/>
  <c r="N32" i="4" l="1"/>
  <c r="N36" i="4" s="1"/>
  <c r="O31" i="4" s="1"/>
  <c r="O32" i="4" l="1"/>
  <c r="O36" i="4" s="1"/>
  <c r="P31" i="4" s="1"/>
  <c r="P32" i="4" l="1"/>
  <c r="P36" i="4" s="1"/>
  <c r="Q31" i="4" s="1"/>
  <c r="Q32" i="4" l="1"/>
  <c r="Q36" i="4" s="1"/>
  <c r="R31" i="4" s="1"/>
  <c r="R32" i="4" l="1"/>
  <c r="R36" i="4" s="1"/>
  <c r="S31" i="4" s="1"/>
  <c r="S32" i="4" l="1"/>
  <c r="S36" i="4" s="1"/>
  <c r="T31" i="4" s="1"/>
  <c r="T32" i="4" l="1"/>
  <c r="T36" i="4" s="1"/>
  <c r="U31" i="4" s="1"/>
  <c r="U32" i="4" l="1"/>
  <c r="U36" i="4" s="1"/>
  <c r="V31" i="4" s="1"/>
  <c r="V32" i="4" l="1"/>
  <c r="C150" i="1" s="1"/>
  <c r="C151" i="1" l="1"/>
  <c r="V34" i="4" l="1"/>
  <c r="V8" i="10" s="1"/>
  <c r="C152" i="1"/>
  <c r="CD27" i="10" l="1"/>
  <c r="CD29" i="10" s="1"/>
  <c r="C17" i="10"/>
  <c r="W8" i="10"/>
  <c r="CF27" i="10" s="1"/>
  <c r="V35" i="4"/>
  <c r="V10" i="10" s="1"/>
  <c r="V36" i="4"/>
  <c r="C164" i="1" s="1"/>
  <c r="D103" i="1" l="1"/>
  <c r="D164" i="1"/>
  <c r="D17" i="10"/>
  <c r="C19" i="10"/>
  <c r="W10" i="10"/>
  <c r="CF29" i="10" s="1"/>
  <c r="C33" i="10" s="1"/>
  <c r="C156" i="1" s="1"/>
  <c r="C38" i="10"/>
  <c r="C157" i="1" s="1"/>
  <c r="CE29" i="10"/>
  <c r="CE27" i="10"/>
  <c r="C36" i="10"/>
  <c r="D27" i="9"/>
  <c r="D36" i="10" l="1"/>
  <c r="D38" i="10"/>
  <c r="D19" i="10"/>
  <c r="K26" i="8"/>
  <c r="J26" i="8"/>
  <c r="D26" i="9"/>
  <c r="K28" i="8"/>
  <c r="D28" i="9"/>
  <c r="D32" i="9" s="1"/>
  <c r="D33" i="9" s="1"/>
  <c r="J28" i="8"/>
  <c r="J32" i="8"/>
  <c r="C159" i="1"/>
  <c r="C161" i="1" s="1"/>
  <c r="K32" i="8"/>
  <c r="K33" i="8" l="1"/>
  <c r="C162" i="1"/>
  <c r="C163" i="1" s="1"/>
  <c r="J33" i="8"/>
  <c r="J34" i="8" l="1"/>
  <c r="D34" i="9"/>
  <c r="K34" i="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<sst xmlns="http://schemas.openxmlformats.org/spreadsheetml/2006/main" count="1072" uniqueCount="452">
  <si>
    <t>0BR</t>
  </si>
  <si>
    <t>1BR</t>
  </si>
  <si>
    <t>2BR</t>
  </si>
  <si>
    <t>3BR</t>
  </si>
  <si>
    <t>4BR</t>
  </si>
  <si>
    <t>Market Rents</t>
  </si>
  <si>
    <t>Total Units</t>
  </si>
  <si>
    <t>Parish Database</t>
  </si>
  <si>
    <t>2023 FMR</t>
  </si>
  <si>
    <t>2022 Low HOME Rent</t>
  </si>
  <si>
    <t>2022 High HOME Rent</t>
  </si>
  <si>
    <t>Parish</t>
  </si>
  <si>
    <t>Eligible Parish</t>
  </si>
  <si>
    <t>Rural Parish</t>
  </si>
  <si>
    <t>FEMA 2017</t>
  </si>
  <si>
    <t>HUD 2017</t>
  </si>
  <si>
    <t>MSA for AMI Purposes</t>
  </si>
  <si>
    <t>Cost Area for TDC Limit Purposes</t>
  </si>
  <si>
    <t>Select</t>
  </si>
  <si>
    <t>Acadia</t>
  </si>
  <si>
    <t xml:space="preserve">Acadia </t>
  </si>
  <si>
    <t>Yes</t>
  </si>
  <si>
    <t>In Lafayette MSA but separate for HUD purposes</t>
  </si>
  <si>
    <t>Lafayette</t>
  </si>
  <si>
    <t>Allen</t>
  </si>
  <si>
    <t xml:space="preserve">Allen </t>
  </si>
  <si>
    <t>No</t>
  </si>
  <si>
    <t>Lake Charles</t>
  </si>
  <si>
    <t>Ascension</t>
  </si>
  <si>
    <t>Baton Rouge MSA</t>
  </si>
  <si>
    <t>Baton Rouge</t>
  </si>
  <si>
    <t>Assumption</t>
  </si>
  <si>
    <t>Avoyelles</t>
  </si>
  <si>
    <t>Alexandria</t>
  </si>
  <si>
    <t>Beauregard</t>
  </si>
  <si>
    <t xml:space="preserve">Beauregard </t>
  </si>
  <si>
    <t>Bienville</t>
  </si>
  <si>
    <t>Shreveport</t>
  </si>
  <si>
    <t>Bossier</t>
  </si>
  <si>
    <t>Shreveport-Bossier City MSA</t>
  </si>
  <si>
    <t>Caddo</t>
  </si>
  <si>
    <t xml:space="preserve">Caddo </t>
  </si>
  <si>
    <t>Calcasieu</t>
  </si>
  <si>
    <t xml:space="preserve">Calcasieu </t>
  </si>
  <si>
    <t>Lake Charles MSA</t>
  </si>
  <si>
    <t>Caldwell</t>
  </si>
  <si>
    <t>Monroe</t>
  </si>
  <si>
    <t>Cameron</t>
  </si>
  <si>
    <t xml:space="preserve">Cameron 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</si>
  <si>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</si>
  <si>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</si>
  <si>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</si>
  <si>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</si>
  <si>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</si>
  <si>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</si>
  <si>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</si>
  <si>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</si>
  <si>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</si>
  <si>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</si>
  <si>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 xml:space="preserve">Grant </t>
  </si>
  <si>
    <t>Alexandria MSA</t>
  </si>
  <si>
    <t>Iberia</t>
  </si>
  <si>
    <t xml:space="preserve">Iberia </t>
  </si>
  <si>
    <t>Iberville</t>
  </si>
  <si>
    <t>In BR MSA but separate for HUD purposes</t>
  </si>
  <si>
    <t>Jackson</t>
  </si>
  <si>
    <t xml:space="preserve">Jackson </t>
  </si>
  <si>
    <t>Jefferson</t>
  </si>
  <si>
    <t>New Orleans - Metairie MSA</t>
  </si>
  <si>
    <t>New Orleans</t>
  </si>
  <si>
    <t>Jefferson Davis</t>
  </si>
  <si>
    <t xml:space="preserve">Jefferson Davis </t>
  </si>
  <si>
    <t xml:space="preserve">Lafayette </t>
  </si>
  <si>
    <t>Lafayette MSA</t>
  </si>
  <si>
    <t>Lafourche</t>
  </si>
  <si>
    <t>Houma-Thibodeaux MSA</t>
  </si>
  <si>
    <t>Lasalle</t>
  </si>
  <si>
    <t xml:space="preserve">La Salle </t>
  </si>
  <si>
    <t>Lincoln</t>
  </si>
  <si>
    <t xml:space="preserve">Lincoln </t>
  </si>
  <si>
    <t>Livingston</t>
  </si>
  <si>
    <t>Madison</t>
  </si>
  <si>
    <t>Morehouse</t>
  </si>
  <si>
    <t xml:space="preserve">Morehouse </t>
  </si>
  <si>
    <t>Natchitoches</t>
  </si>
  <si>
    <t xml:space="preserve">Natchitoches </t>
  </si>
  <si>
    <t>Orleans</t>
  </si>
  <si>
    <t>Ouachita</t>
  </si>
  <si>
    <t xml:space="preserve">Ouachita </t>
  </si>
  <si>
    <t>Monroe MSA</t>
  </si>
  <si>
    <t>Plaquemines</t>
  </si>
  <si>
    <t>Pointe Coupee</t>
  </si>
  <si>
    <t>Rapides</t>
  </si>
  <si>
    <t xml:space="preserve">Rapides </t>
  </si>
  <si>
    <t>Red River</t>
  </si>
  <si>
    <t>Richland</t>
  </si>
  <si>
    <t>Sabine</t>
  </si>
  <si>
    <t xml:space="preserve">Sabine </t>
  </si>
  <si>
    <t>St. Bernard</t>
  </si>
  <si>
    <t>St. Charles</t>
  </si>
  <si>
    <t>St. Helena</t>
  </si>
  <si>
    <t>St. James</t>
  </si>
  <si>
    <t>St. John</t>
  </si>
  <si>
    <t>St. Landry</t>
  </si>
  <si>
    <t xml:space="preserve">St. Landry </t>
  </si>
  <si>
    <t>St. Martin</t>
  </si>
  <si>
    <t xml:space="preserve">St. Martin </t>
  </si>
  <si>
    <t>St. Mary</t>
  </si>
  <si>
    <t>St. Tammany</t>
  </si>
  <si>
    <t>Tangipahoa</t>
  </si>
  <si>
    <t>Only Parish in Hammond LA MSA</t>
  </si>
  <si>
    <t>Tensas</t>
  </si>
  <si>
    <t>Terrebonne</t>
  </si>
  <si>
    <t>Union</t>
  </si>
  <si>
    <t xml:space="preserve">Union </t>
  </si>
  <si>
    <t>Vermilion</t>
  </si>
  <si>
    <t xml:space="preserve">Vermilion </t>
  </si>
  <si>
    <t>Vernon</t>
  </si>
  <si>
    <t xml:space="preserve">Vernon </t>
  </si>
  <si>
    <t>Washington</t>
  </si>
  <si>
    <t>Webster</t>
  </si>
  <si>
    <t>In Shreveport MSA but separate for HUD purposes</t>
  </si>
  <si>
    <t>West Baton Rouge</t>
  </si>
  <si>
    <t>West Carroll</t>
  </si>
  <si>
    <t>West Feliciana</t>
  </si>
  <si>
    <t>Winn</t>
  </si>
  <si>
    <t xml:space="preserve">Winn </t>
  </si>
  <si>
    <t>Count</t>
  </si>
  <si>
    <t>4 Person AMI</t>
  </si>
  <si>
    <t>at 100% AMI</t>
  </si>
  <si>
    <t>of AMI Will Be Used for These Calculations</t>
  </si>
  <si>
    <t>1 Person</t>
  </si>
  <si>
    <t>2 Person</t>
  </si>
  <si>
    <t>3 Person</t>
  </si>
  <si>
    <t>4 Person</t>
  </si>
  <si>
    <t>5 Person</t>
  </si>
  <si>
    <t>6 Person</t>
  </si>
  <si>
    <t>5BR</t>
  </si>
  <si>
    <t>7 Person</t>
  </si>
  <si>
    <t>8 Person</t>
  </si>
  <si>
    <t>2 = round down to penny; 0 = round down to dollar</t>
  </si>
  <si>
    <t>Gross Rents</t>
  </si>
  <si>
    <t>N/A</t>
  </si>
  <si>
    <t>Gross 80% Rent</t>
  </si>
  <si>
    <t>Net 80% Rent</t>
  </si>
  <si>
    <t>Total</t>
  </si>
  <si>
    <t>Total Monthly GPR</t>
  </si>
  <si>
    <t>Monthly GPR from Market</t>
  </si>
  <si>
    <t>Reduction from Market</t>
  </si>
  <si>
    <t>Simple 20YR Affordability Value</t>
  </si>
  <si>
    <t>Mkt Rent %AMI</t>
  </si>
  <si>
    <t>Market Rent + Utilities</t>
  </si>
  <si>
    <t>Units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</si>
  <si>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</si>
  <si>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</si>
  <si>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</si>
  <si>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</si>
  <si>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</si>
  <si>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</si>
  <si>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</si>
  <si>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</si>
  <si>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</si>
  <si>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</si>
  <si>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</si>
  <si>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</si>
  <si>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</si>
  <si>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</si>
  <si>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</si>
  <si>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</si>
  <si>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</si>
  <si>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</si>
  <si>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</si>
  <si>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</si>
  <si>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</si>
  <si>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</si>
  <si>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</si>
  <si>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</si>
  <si>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</si>
  <si>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</si>
  <si>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</si>
  <si>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</si>
  <si>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</si>
  <si>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</si>
  <si>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</si>
  <si>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</si>
  <si>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</si>
  <si>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</si>
  <si>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</si>
  <si>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</si>
  <si>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</si>
  <si>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</si>
  <si>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</si>
  <si>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</si>
  <si>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Rent Loss</t>
  </si>
  <si>
    <t>Other</t>
  </si>
  <si>
    <t>Effective Gross Income</t>
  </si>
  <si>
    <t>Total Operating Expenses</t>
  </si>
  <si>
    <t>Net Operating Income</t>
  </si>
  <si>
    <t>First Mortgage Debt Service</t>
  </si>
  <si>
    <t>Refinanced 1st Mtg Debt Service</t>
  </si>
  <si>
    <t>Operating Cash Flow</t>
  </si>
  <si>
    <t>Gap Financing Loan (Beginning)</t>
  </si>
  <si>
    <t>Minus payment from Surplus Cash</t>
  </si>
  <si>
    <t>Ending Balance</t>
  </si>
  <si>
    <t>Other Income</t>
  </si>
  <si>
    <t>Admin Expenses</t>
  </si>
  <si>
    <t>YR 1 Operating Costs</t>
  </si>
  <si>
    <t>Administrative</t>
  </si>
  <si>
    <t>Operating and Maintenance</t>
  </si>
  <si>
    <t>Property-Paid Utilities</t>
  </si>
  <si>
    <t>Taxes and Insurance</t>
  </si>
  <si>
    <t>Per Unit</t>
  </si>
  <si>
    <t>Affordable Rent Trending</t>
  </si>
  <si>
    <t>Market Rent Trending</t>
  </si>
  <si>
    <t>Gross Rent Potential Affordable</t>
  </si>
  <si>
    <t>Gross Rent Potential Market</t>
  </si>
  <si>
    <t>Operating Expense Trending</t>
  </si>
  <si>
    <t>Trended 20YR Affordability Value</t>
  </si>
  <si>
    <t>At 100% Market (FYI)</t>
  </si>
  <si>
    <t>Applicant's Selected Interest Rate on CDBG</t>
  </si>
  <si>
    <t>Percentage of Net Refinancing Proceeds at YR10 Paid to CDBG Note</t>
  </si>
  <si>
    <t>Refinancing Assumptions</t>
  </si>
  <si>
    <t>Year of Refinancing</t>
  </si>
  <si>
    <t>Assumed Interest Rate</t>
  </si>
  <si>
    <t>Assumed Transaction Costs</t>
  </si>
  <si>
    <t>Assumed DSDR</t>
  </si>
  <si>
    <t>Year 10 NOI</t>
  </si>
  <si>
    <t>Year 10 Available for DS</t>
  </si>
  <si>
    <t>Supportable Debt</t>
  </si>
  <si>
    <t>Assumed Capital Replacements per Unit</t>
  </si>
  <si>
    <t>1st Mortgage Assumptions</t>
  </si>
  <si>
    <t>Year 1 NOI</t>
  </si>
  <si>
    <t>Unpaid Principal Balance 1st Mortgage</t>
  </si>
  <si>
    <t>Net Proceeds from Refinance</t>
  </si>
  <si>
    <t>Percentage of Net Proceeds Paid to CDBG</t>
  </si>
  <si>
    <t>Percentage of Net Proceeds Paid to Sponsor</t>
  </si>
  <si>
    <t>Amount Paid to CBDG</t>
  </si>
  <si>
    <t>Amount Paid to Sponsor</t>
  </si>
  <si>
    <t>Applicant's Selected % of Cash Flow Paid on CDBG Note</t>
  </si>
  <si>
    <t>Total Development Cost</t>
  </si>
  <si>
    <t>Other Sources</t>
  </si>
  <si>
    <t>Projected 1st Mortgage</t>
  </si>
  <si>
    <t>CDBG Request</t>
  </si>
  <si>
    <t>Sales Assumptions</t>
  </si>
  <si>
    <t>Year</t>
  </si>
  <si>
    <t>Assumed Cap Rate</t>
  </si>
  <si>
    <t>NOI at YR 20 Mkt</t>
  </si>
  <si>
    <t xml:space="preserve">GPR at Market </t>
  </si>
  <si>
    <t>EGI</t>
  </si>
  <si>
    <t>OpEx</t>
  </si>
  <si>
    <t>Value at Sale</t>
  </si>
  <si>
    <t>Payoff Refinanced 1st</t>
  </si>
  <si>
    <t>Transaction Costs</t>
  </si>
  <si>
    <t>Net Proceeds</t>
  </si>
  <si>
    <t>Sponsor's Election for Net Proceeds Paid to CDBG</t>
  </si>
  <si>
    <t>Amount Paid to CBDG Note at YR20</t>
  </si>
  <si>
    <t>Total Amounts Paid on CDBG Note</t>
  </si>
  <si>
    <t>Minus Payment from Sale / Refinance Proceeds</t>
  </si>
  <si>
    <t>Discount Rate on NPV calc</t>
  </si>
  <si>
    <t>NPV of Repayments on CDBG Note</t>
  </si>
  <si>
    <t>CDBG Loan Amount</t>
  </si>
  <si>
    <t>Net CDBG Cost</t>
  </si>
  <si>
    <t>Affordability Value</t>
  </si>
  <si>
    <t>CDBG Efficiency</t>
  </si>
  <si>
    <t>PUPM Discount</t>
  </si>
  <si>
    <t>Nominal Repayments on CDBG Note</t>
  </si>
  <si>
    <t>Percentage of Net Sales Proceeds at YR20 Paid to CDBG Note</t>
  </si>
  <si>
    <t>Market Rents Affordable at this % AMI</t>
  </si>
  <si>
    <t xml:space="preserve"> Assumed Parish</t>
  </si>
  <si>
    <t>Weighted Average Gross 80% Rent</t>
  </si>
  <si>
    <t>Weighted Average Market Rent + Utilities</t>
  </si>
  <si>
    <t>Weighted Average Street Value of Use Restriction (per unit)</t>
  </si>
  <si>
    <t>CDBG Loan Required</t>
  </si>
  <si>
    <t>Other Sources Assumed</t>
  </si>
  <si>
    <t>1st Mortgage Assumed</t>
  </si>
  <si>
    <t>CDBG Loan / Unit</t>
  </si>
  <si>
    <t>Total Development Cost / Unit</t>
  </si>
  <si>
    <t>CDBG Unpaid at Maturity</t>
  </si>
  <si>
    <t>Efficiency</t>
  </si>
  <si>
    <r>
      <t xml:space="preserve">TOTAL CDBG OUTLAY </t>
    </r>
    <r>
      <rPr>
        <i/>
        <sz val="11"/>
        <color theme="1"/>
        <rFont val="Calibri"/>
        <family val="2"/>
        <scheme val="minor"/>
      </rPr>
      <t>Money Out</t>
    </r>
  </si>
  <si>
    <t>NPV of Repayments</t>
  </si>
  <si>
    <t>Plus (Trended) Affordability Value</t>
  </si>
  <si>
    <t>Baseline Scenario</t>
  </si>
  <si>
    <t>Only Reduced TDC by 15% vs Baseline</t>
  </si>
  <si>
    <t>Only increased Market rents 5% vs Baseline</t>
  </si>
  <si>
    <t>Only changed to less generous repayment terms of CBDG vs Baseline</t>
  </si>
  <si>
    <t>Changed Inputs</t>
  </si>
  <si>
    <t>Affected Outputs</t>
  </si>
  <si>
    <r>
      <rPr>
        <b/>
        <sz val="11"/>
        <color theme="1"/>
        <rFont val="Calibri"/>
        <family val="2"/>
        <scheme val="minor"/>
      </rPr>
      <t>Nominal</t>
    </r>
    <r>
      <rPr>
        <sz val="11"/>
        <color theme="1"/>
        <rFont val="Calibri"/>
        <family val="2"/>
        <scheme val="minor"/>
      </rPr>
      <t xml:space="preserve"> Repayments on CDBG Note</t>
    </r>
  </si>
  <si>
    <t>EQUALS CDBG (COST) or RETURN</t>
  </si>
  <si>
    <t>Only changed to Orleans vs Baseline--note higher AMI there yields lower affordability value relative to same market rent assumption as baseline and had to increase market rents to 100% AMI (+8% vs baseline)</t>
  </si>
  <si>
    <t>Lower market rents than baseline, and less generous CBDG repayment terms than baseline</t>
  </si>
  <si>
    <t>If Commercial Space, Commmercial Income per Year</t>
  </si>
  <si>
    <t>If Commercial Space, Gross Rent</t>
  </si>
  <si>
    <t>Commercial Space VL</t>
  </si>
  <si>
    <t>PSH Units</t>
  </si>
  <si>
    <t>80% Units</t>
  </si>
  <si>
    <t>90% Units</t>
  </si>
  <si>
    <t>100% Units</t>
  </si>
  <si>
    <t>Percentages</t>
  </si>
  <si>
    <t>Market Units</t>
  </si>
  <si>
    <t># Market</t>
  </si>
  <si>
    <t>20% AMI</t>
  </si>
  <si>
    <t>30% AMI</t>
  </si>
  <si>
    <t>40% AMI</t>
  </si>
  <si>
    <t>50% AMI</t>
  </si>
  <si>
    <t>60% AMI</t>
  </si>
  <si>
    <t>70% AMI</t>
  </si>
  <si>
    <t>80% AMI</t>
  </si>
  <si>
    <t>100% AMI</t>
  </si>
  <si>
    <t>90% AMI</t>
  </si>
  <si>
    <t>Gross 90% Rent</t>
  </si>
  <si>
    <t>Gross 100% Rent</t>
  </si>
  <si>
    <t>Net 90% Rent</t>
  </si>
  <si>
    <t>Net 100% Rent</t>
  </si>
  <si>
    <t>FMR</t>
  </si>
  <si>
    <t>Net PBV Rent</t>
  </si>
  <si>
    <t>Proposed Total Development Cost</t>
  </si>
  <si>
    <t>Amount of CDBG Note Projected to be Forgiven</t>
  </si>
  <si>
    <t>Select Parish:</t>
  </si>
  <si>
    <t>Applicant Property Name:</t>
  </si>
  <si>
    <t>Rents + Utils Affordable at 100% AMI</t>
  </si>
  <si>
    <t>Monthly GPR from PBV</t>
  </si>
  <si>
    <t>Monthly GPR from 80% AMI Units</t>
  </si>
  <si>
    <t>Monthly GPR from 90% AMI Units</t>
  </si>
  <si>
    <t>Monthly GPR from 100% AMI Units</t>
  </si>
  <si>
    <t>Weighted Average Monthly Street Value of Use Restriction (per unit)</t>
  </si>
  <si>
    <t>Market Affordability Level</t>
  </si>
  <si>
    <t>Application Selection and Scoring Model</t>
  </si>
  <si>
    <t>Flags - Correct Red Flags Prior to Submission</t>
  </si>
  <si>
    <t>Market Rents must be above 110% AMI to schedule 90% AMI Units</t>
  </si>
  <si>
    <t>Market rents &gt;110% AMI--90% AMI Units are OK--</t>
  </si>
  <si>
    <t>Market Rents must be above 120% AMI to schedule 100% AMI Units</t>
  </si>
  <si>
    <t>Market rents &gt;120% AMI--100% AMI Units are OK--</t>
  </si>
  <si>
    <t>Total Cost of (Return on) CDBG</t>
  </si>
  <si>
    <t>CDBG Cost (Return) per Unit</t>
  </si>
  <si>
    <t xml:space="preserve"> Available for Mo. Debt Service</t>
  </si>
  <si>
    <t>Assumed Capital Replacements / Repairs / Investments into Property at Refinancing Total</t>
  </si>
  <si>
    <t>Proposed TDC per Unit</t>
  </si>
  <si>
    <t>CDBG Request per Unit</t>
  </si>
  <si>
    <t>Weighted Avg Market Housing Cost</t>
  </si>
  <si>
    <t>Weighted Avg Affd Housing Cost</t>
  </si>
  <si>
    <t>Enter the projected Total Development Cost (TDC) for your proposed project, include all hard and soft costs. Provide a detailed budget in your application. See NOFA XX.</t>
  </si>
  <si>
    <t>If your application proposes additional financing other than First Mortgage and CDBG, enter here. Provide detail in your application. Repayment of this is restricted to borrower's proceeds.</t>
  </si>
  <si>
    <t>Operating Proforma Inputs</t>
  </si>
  <si>
    <t>Development Proforma (Sources and Uses) Inputs</t>
  </si>
  <si>
    <t>You must set aside at least 2% of units as PSH</t>
  </si>
  <si>
    <t>Meets the requirement that 2% of units be set aside for PSH--OK</t>
  </si>
  <si>
    <t>At least 51% of units must be &lt;80% AMI (includes PSH)</t>
  </si>
  <si>
    <t>51% of units are &lt;80% AMI--OK</t>
  </si>
  <si>
    <t>Gross PSH Rent 
(120% FMR)</t>
  </si>
  <si>
    <r>
      <t xml:space="preserve">Monthly GPR </t>
    </r>
    <r>
      <rPr>
        <u/>
        <sz val="11"/>
        <color theme="1"/>
        <rFont val="Calibri"/>
        <family val="2"/>
        <scheme val="minor"/>
      </rPr>
      <t>if</t>
    </r>
    <r>
      <rPr>
        <sz val="11"/>
        <color theme="1"/>
        <rFont val="Calibri"/>
        <family val="2"/>
        <scheme val="minor"/>
      </rPr>
      <t xml:space="preserve"> 100% Market</t>
    </r>
  </si>
  <si>
    <t>This is the total monthly GPR from rent-restricted units.</t>
  </si>
  <si>
    <t>This is the total monthly GPR from market units.</t>
  </si>
  <si>
    <t>This is the total monthly GPR from the combination of rent-restricted and market units.</t>
  </si>
  <si>
    <t>This would be the monthly income if all units were market units.</t>
  </si>
  <si>
    <t>This is the monthly reduction in GPR, from market, based on the rent restrictions.</t>
  </si>
  <si>
    <t>This is the 'Reduction from Market' multiplied by 20 years.</t>
  </si>
  <si>
    <t>This is the 'Reduction from Market' over 20 years in the Proforma, reflecting trending. This is the 'Affordabilty Value' considered in scoring CDBG Efficiency.</t>
  </si>
  <si>
    <t>Input projected operating costs to the left. Note that the borrower will be responsible for operating deficits over the 20-year term of the CDBG loan. Ensure these are consistent with your proposed First Mortgage lender's requirements.</t>
  </si>
  <si>
    <t xml:space="preserve">Mixed-use developments are permitted; provide documentation in your application supporting your commercial rent assumptions. </t>
  </si>
  <si>
    <t>Residential Units Rent Loss</t>
  </si>
  <si>
    <t>Gap Financing Loan Amortization Schedule</t>
  </si>
  <si>
    <t>Other Income per Year</t>
  </si>
  <si>
    <t xml:space="preserve">Enter your PUPA Other Income projection. </t>
  </si>
  <si>
    <t xml:space="preserve">These trending percentages are fixed in the application / underwriting process. </t>
  </si>
  <si>
    <t xml:space="preserve">These terms and assumptions are fixed in the application / underwriting process. If you contend in your application that these are unreasonable assumptions, and you can guarantee materially better terms, provide documentation. </t>
  </si>
  <si>
    <t>Maturity (Years)</t>
  </si>
  <si>
    <t xml:space="preserve"> Amortization (Years)</t>
  </si>
  <si>
    <t>Amortization (Years)</t>
  </si>
  <si>
    <t>Fixed assumption that the refinancing will incur these costs for legal, title, etc.</t>
  </si>
  <si>
    <t>Fixed assumption that this amount of refinancing proceeds will be required to address capital needs and/or fund a reserve for replacement for such costs over the forthcoming 10-year term of the Refinancing Mortgage.</t>
  </si>
  <si>
    <t>This is the calculated net proceeds from the refinancing.</t>
  </si>
  <si>
    <t>This is the applicant's commitment regarding the percentage of net proceeds from the Refinancing which will be paid to the CDBG Note.</t>
  </si>
  <si>
    <t>This is the corresponding percentage of net proceeds from the refinancing which would be paid to the applicant / borrower.</t>
  </si>
  <si>
    <t>These terms and assumptions are fixed in the application / underwriting process. The First Mortgage will be for a 10-year term, and will require refinancing, under these terms.</t>
  </si>
  <si>
    <t>These terms and assumptions are fixed in the application / underwriting process. Actual net proceeds from sale may be more or less.</t>
  </si>
  <si>
    <t>Note that at the YR20 sale, the use agreement will be released, and the property will be valued at market rents.</t>
  </si>
  <si>
    <t>Amount paid to Borrower at YR20</t>
  </si>
  <si>
    <t>This is the applicant's commitment regarding the percentage of net proceeds from the Sale which will be paid to the CDBG Note.</t>
  </si>
  <si>
    <t>This is the resulting projection of sales price, less transaction costs and amount due on the Refinanced 1st Mortgage, and the resulting net proceeds from sale which would be received.</t>
  </si>
  <si>
    <t>This is the lesser of the amount due at YR20 or the above amount; if this is less than the above amount, the borrower may consider selecting a higher interest rate on the CDBG loan.</t>
  </si>
  <si>
    <t>Amount Actually Due at YR20</t>
  </si>
  <si>
    <t>This is a fixed assumption for applciation / underwriting purposes.</t>
  </si>
  <si>
    <t xml:space="preserve">This is the total of projected payments on the CDBG note over the term. </t>
  </si>
  <si>
    <t>This is the adjusted (net present value) of the projected CDBG payments over the term.</t>
  </si>
  <si>
    <t>This is the amount proposed to be borrowed.</t>
  </si>
  <si>
    <t>This is the difference between the borrowed amount, and the NPV of the repayments.</t>
  </si>
  <si>
    <t xml:space="preserve">This is Net CDBG Cost less the Affordability Value. </t>
  </si>
  <si>
    <r>
      <t xml:space="preserve">Pulled the weighted average of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affordable rents, but that may not be what you intended</t>
    </r>
  </si>
  <si>
    <t>Pulled Basic Input C48 but that may not be what you intended</t>
  </si>
  <si>
    <t>Raw Affordability Value</t>
  </si>
  <si>
    <t>NPV</t>
  </si>
  <si>
    <t>based on times 0, 1, 2, etc. but probably should be times 0.5, 1.5, 2.5 etc.</t>
  </si>
  <si>
    <t>Operating &amp; Maintenance Expenses</t>
  </si>
  <si>
    <t>Utilities Expenses</t>
  </si>
  <si>
    <t>Taxes &amp; Insurance Expenses</t>
  </si>
  <si>
    <t>Market</t>
  </si>
  <si>
    <t>Repayment of CDBG (Total)</t>
  </si>
  <si>
    <t>Calculated For Annual Payments</t>
  </si>
  <si>
    <t>Calculated For Quarterly Payments</t>
  </si>
  <si>
    <t>Q1</t>
  </si>
  <si>
    <t>Q2</t>
  </si>
  <si>
    <t>Q3</t>
  </si>
  <si>
    <t>Q4</t>
  </si>
  <si>
    <t>Payment from Surplus Cash</t>
  </si>
  <si>
    <t>Payment from Year 10 Refinance</t>
  </si>
  <si>
    <t>Payment from Year 20 Sale</t>
  </si>
  <si>
    <t>NPV Discount Rate</t>
  </si>
  <si>
    <t>per year</t>
  </si>
  <si>
    <t>per quarter</t>
  </si>
  <si>
    <t>NPV of Payment from Surplus Cash</t>
  </si>
  <si>
    <t>NPV of Payment from Year 10 Refinance</t>
  </si>
  <si>
    <t>NPV of Payment from Year 20 Sale</t>
  </si>
  <si>
    <t>NPV (Total)</t>
  </si>
  <si>
    <t>of the nominal total</t>
  </si>
  <si>
    <t>Your request exceeds maximum per project.</t>
  </si>
  <si>
    <t>OK. Request below maximum per project.</t>
  </si>
  <si>
    <t>Request exceeds maximum CDBG per unit.</t>
  </si>
  <si>
    <t>OK, Request below maximum per unit.</t>
  </si>
  <si>
    <t>No more than 10% of units may be scheduled at 90% AMI.</t>
  </si>
  <si>
    <t>OK. Less than 10% of units are proposed at 90% AMI.</t>
  </si>
  <si>
    <t>Percentage of 100% AMI units may not exceed percentage of 90% AMI units.</t>
  </si>
  <si>
    <t>OK, Percentage of 100% units does not exceed percentage of 90% units.</t>
  </si>
  <si>
    <t># Restricted (TOTAL)</t>
  </si>
  <si>
    <t>% Restricted by BR Type</t>
  </si>
  <si>
    <t>These are "Affordable" Units</t>
  </si>
  <si>
    <t>These are "Restricted" Units</t>
  </si>
  <si>
    <t>W/A Restricted 
Gross Rent</t>
  </si>
  <si>
    <t>W/A Restricted 
Net Rent</t>
  </si>
  <si>
    <t>Interest rate selected results in projected unrepayable amount at Maturity.</t>
  </si>
  <si>
    <t>Interest Rate Proposed is OK.</t>
  </si>
  <si>
    <t>See NOFA §6.1.3</t>
  </si>
  <si>
    <t>Percentage meets requirements at NOFA §6.1.3.</t>
  </si>
  <si>
    <t>See NOFA §6.1.3, Percentage must be =&gt;25%.</t>
  </si>
  <si>
    <t>See NOFA §6.1.3, Percentage must be =&gt;50%.</t>
  </si>
  <si>
    <t>This is the calculated, projected unpaid principal balance of the First Mortgage.</t>
  </si>
  <si>
    <t>This is the score. See NOFA §6.1.</t>
  </si>
  <si>
    <t>Nominal Repayments Total</t>
  </si>
  <si>
    <t>As Restricted</t>
  </si>
  <si>
    <t>Monthly GPR from Restricted Units</t>
  </si>
  <si>
    <t>Blended Trending</t>
  </si>
  <si>
    <t>NPV of Trended 20YR Affordability Value</t>
  </si>
  <si>
    <t>This is the calculated value of the affordability from above--see 'NPV of Trended 20-Year Affordability Value'</t>
  </si>
  <si>
    <t>Property Name</t>
  </si>
  <si>
    <t>50% 2023 AMI</t>
  </si>
  <si>
    <t>Housing Auth Utility Allowance for 80%, 90% and 100% Units</t>
  </si>
  <si>
    <t>Statewide Utility Allowance for PSH Units</t>
  </si>
  <si>
    <t>Middle Market Loan Program - Laura Delta Ida (MMLP-LDI) - REV for NOFA AMENDMENT #1</t>
  </si>
  <si>
    <t>Check Rents vs Minimum Requirement</t>
  </si>
  <si>
    <t xml:space="preserve">Rents Appear to meet Minimum Requirement </t>
  </si>
  <si>
    <t>Market Affordability Level for Orleans and EBR must be 100%, for other parishes it must be 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</si>
</sst>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0_);\(0\)"/>
    <numFmt numFmtId="166" formatCode="&quot;$&quot;#,##0.00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97">
    <xf numFmtId="0" fontId="0" fillId="0" borderId="0" xfId="0"/>
    <xf numFmtId="0" fontId="5" fillId="0" borderId="0" xfId="0" applyFont="1"/>
    <xf numFmtId="5" fontId="5" fillId="0" borderId="0" xfId="0" applyNumberFormat="1" applyFont="1"/>
    <xf numFmtId="37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/>
    <xf numFmtId="0" fontId="7" fillId="6" borderId="0" xfId="0" applyFont="1" applyFill="1" applyAlignment="1">
      <alignment wrapText="1"/>
    </xf>
    <xf numFmtId="0" fontId="0" fillId="7" borderId="0" xfId="0" applyFill="1"/>
    <xf numFmtId="164" fontId="0" fillId="0" borderId="0" xfId="0" applyNumberFormat="1"/>
    <xf numFmtId="0" fontId="0" fillId="0" borderId="0" xfId="0" applyAlignment="1">
      <alignment horizontal="center"/>
    </xf>
    <xf numFmtId="5" fontId="0" fillId="0" borderId="0" xfId="1" applyNumberFormat="1" applyFont="1" applyFill="1" applyAlignment="1">
      <alignment horizontal="center"/>
    </xf>
    <xf numFmtId="5" fontId="0" fillId="0" borderId="0" xfId="1" applyNumberFormat="1" applyFont="1" applyAlignment="1">
      <alignment horizontal="center"/>
    </xf>
    <xf numFmtId="5" fontId="0" fillId="0" borderId="0" xfId="0" applyNumberFormat="1"/>
    <xf numFmtId="7" fontId="0" fillId="0" borderId="0" xfId="0" applyNumberFormat="1"/>
    <xf numFmtId="165" fontId="5" fillId="0" borderId="0" xfId="0" applyNumberFormat="1" applyFont="1"/>
    <xf numFmtId="5" fontId="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9" fontId="10" fillId="7" borderId="1" xfId="3" applyFont="1" applyFill="1" applyBorder="1" applyAlignment="1" applyProtection="1">
      <alignment horizontal="right" vertical="center" wrapText="1"/>
      <protection locked="0"/>
    </xf>
    <xf numFmtId="7" fontId="7" fillId="7" borderId="2" xfId="4" applyNumberFormat="1" applyFont="1" applyFill="1" applyBorder="1" applyAlignment="1">
      <alignment horizontal="left"/>
    </xf>
    <xf numFmtId="0" fontId="0" fillId="7" borderId="2" xfId="0" applyFill="1" applyBorder="1"/>
    <xf numFmtId="7" fontId="0" fillId="7" borderId="2" xfId="0" applyNumberFormat="1" applyFill="1" applyBorder="1"/>
    <xf numFmtId="0" fontId="0" fillId="7" borderId="3" xfId="0" applyFill="1" applyBorder="1"/>
    <xf numFmtId="0" fontId="0" fillId="7" borderId="4" xfId="0" applyFill="1" applyBorder="1" applyAlignment="1">
      <alignment horizontal="right" indent="1"/>
    </xf>
    <xf numFmtId="5" fontId="0" fillId="7" borderId="0" xfId="4" applyNumberFormat="1" applyFont="1" applyFill="1" applyBorder="1" applyAlignment="1">
      <alignment horizontal="left"/>
    </xf>
    <xf numFmtId="5" fontId="0" fillId="7" borderId="0" xfId="0" applyNumberFormat="1" applyFill="1"/>
    <xf numFmtId="7" fontId="0" fillId="7" borderId="0" xfId="0" applyNumberFormat="1" applyFill="1"/>
    <xf numFmtId="0" fontId="0" fillId="7" borderId="5" xfId="0" applyFill="1" applyBorder="1"/>
    <xf numFmtId="9" fontId="9" fillId="0" borderId="0" xfId="3" applyFont="1" applyAlignment="1">
      <alignment horizontal="center"/>
    </xf>
    <xf numFmtId="5" fontId="9" fillId="7" borderId="0" xfId="4" applyNumberFormat="1" applyFont="1" applyFill="1" applyBorder="1" applyAlignment="1">
      <alignment horizontal="left"/>
    </xf>
    <xf numFmtId="9" fontId="0" fillId="7" borderId="5" xfId="0" applyNumberFormat="1" applyFill="1" applyBorder="1"/>
    <xf numFmtId="0" fontId="9" fillId="7" borderId="0" xfId="0" applyFont="1" applyFill="1"/>
    <xf numFmtId="0" fontId="9" fillId="7" borderId="4" xfId="0" applyFont="1" applyFill="1" applyBorder="1" applyAlignment="1">
      <alignment horizontal="right" indent="1"/>
    </xf>
    <xf numFmtId="0" fontId="0" fillId="7" borderId="6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7" fontId="0" fillId="7" borderId="7" xfId="0" applyNumberForma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7" fillId="8" borderId="9" xfId="0" applyFon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7" fontId="0" fillId="8" borderId="2" xfId="0" applyNumberFormat="1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4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7" fontId="0" fillId="8" borderId="0" xfId="0" applyNumberFormat="1" applyFill="1" applyAlignment="1">
      <alignment horizontal="center" vertical="center"/>
    </xf>
    <xf numFmtId="0" fontId="0" fillId="8" borderId="5" xfId="0" applyFill="1" applyBorder="1" applyAlignment="1">
      <alignment vertical="center"/>
    </xf>
    <xf numFmtId="166" fontId="9" fillId="8" borderId="6" xfId="0" applyNumberFormat="1" applyFont="1" applyFill="1" applyBorder="1" applyAlignment="1">
      <alignment horizontal="center" vertical="center"/>
    </xf>
    <xf numFmtId="166" fontId="0" fillId="8" borderId="7" xfId="0" applyNumberFormat="1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37" fontId="9" fillId="9" borderId="1" xfId="3" applyNumberFormat="1" applyFont="1" applyFill="1" applyBorder="1" applyAlignment="1" applyProtection="1">
      <alignment horizontal="center" vertical="center" wrapText="1"/>
      <protection locked="0"/>
    </xf>
    <xf numFmtId="7" fontId="2" fillId="5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left"/>
    </xf>
    <xf numFmtId="166" fontId="0" fillId="0" borderId="0" xfId="0" applyNumberFormat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0" fontId="4" fillId="0" borderId="0" xfId="0" applyFont="1"/>
    <xf numFmtId="37" fontId="5" fillId="0" borderId="0" xfId="0" applyNumberFormat="1" applyFont="1"/>
    <xf numFmtId="3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5" fontId="3" fillId="0" borderId="0" xfId="0" applyNumberFormat="1" applyFont="1" applyAlignment="1">
      <alignment horizontal="center"/>
    </xf>
    <xf numFmtId="10" fontId="0" fillId="0" borderId="0" xfId="0" applyNumberFormat="1"/>
    <xf numFmtId="0" fontId="3" fillId="0" borderId="0" xfId="0" applyFont="1" applyAlignment="1">
      <alignment horizontal="left" indent="1"/>
    </xf>
    <xf numFmtId="5" fontId="3" fillId="0" borderId="0" xfId="0" applyNumberFormat="1" applyFont="1"/>
    <xf numFmtId="0" fontId="3" fillId="12" borderId="0" xfId="0" applyFont="1" applyFill="1"/>
    <xf numFmtId="5" fontId="0" fillId="12" borderId="0" xfId="0" applyNumberFormat="1" applyFill="1"/>
    <xf numFmtId="0" fontId="0" fillId="0" borderId="0" xfId="0" applyAlignment="1">
      <alignment horizontal="left" indent="1"/>
    </xf>
    <xf numFmtId="39" fontId="0" fillId="0" borderId="0" xfId="0" applyNumberFormat="1"/>
    <xf numFmtId="37" fontId="0" fillId="0" borderId="0" xfId="0" applyNumberFormat="1"/>
    <xf numFmtId="0" fontId="0" fillId="0" borderId="0" xfId="0" applyAlignment="1">
      <alignment horizontal="left"/>
    </xf>
    <xf numFmtId="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9" fontId="0" fillId="0" borderId="0" xfId="0" applyNumberFormat="1"/>
    <xf numFmtId="10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9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 vertical="top"/>
    </xf>
    <xf numFmtId="0" fontId="0" fillId="0" borderId="0" xfId="0" applyAlignment="1">
      <alignment horizontal="right" indent="1"/>
    </xf>
    <xf numFmtId="166" fontId="0" fillId="0" borderId="0" xfId="0" applyNumberFormat="1"/>
    <xf numFmtId="5" fontId="0" fillId="0" borderId="1" xfId="0" applyNumberFormat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5" fontId="0" fillId="7" borderId="1" xfId="0" applyNumberFormat="1" applyFill="1" applyBorder="1" applyAlignment="1">
      <alignment horizontal="center"/>
    </xf>
    <xf numFmtId="9" fontId="0" fillId="0" borderId="0" xfId="2" applyFont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center" vertical="top" wrapText="1"/>
    </xf>
    <xf numFmtId="5" fontId="0" fillId="11" borderId="0" xfId="1" applyNumberFormat="1" applyFont="1" applyFill="1" applyAlignment="1">
      <alignment horizontal="center"/>
    </xf>
    <xf numFmtId="5" fontId="0" fillId="15" borderId="0" xfId="0" applyNumberFormat="1" applyFill="1" applyAlignment="1">
      <alignment horizontal="center"/>
    </xf>
    <xf numFmtId="9" fontId="0" fillId="15" borderId="0" xfId="2" applyFont="1" applyFill="1" applyAlignment="1">
      <alignment horizontal="center"/>
    </xf>
    <xf numFmtId="9" fontId="0" fillId="11" borderId="0" xfId="2" applyFont="1" applyFill="1" applyAlignment="1">
      <alignment horizontal="center"/>
    </xf>
    <xf numFmtId="5" fontId="0" fillId="15" borderId="0" xfId="1" applyNumberFormat="1" applyFont="1" applyFill="1" applyAlignment="1">
      <alignment horizontal="center"/>
    </xf>
    <xf numFmtId="9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9" fontId="0" fillId="15" borderId="0" xfId="0" applyNumberFormat="1" applyFill="1" applyAlignment="1">
      <alignment horizontal="center"/>
    </xf>
    <xf numFmtId="0" fontId="0" fillId="0" borderId="1" xfId="0" applyBorder="1" applyAlignment="1">
      <alignment horizontal="right" indent="1"/>
    </xf>
    <xf numFmtId="0" fontId="0" fillId="11" borderId="1" xfId="0" applyFill="1" applyBorder="1"/>
    <xf numFmtId="0" fontId="0" fillId="15" borderId="1" xfId="0" applyFill="1" applyBorder="1"/>
    <xf numFmtId="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10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3" fillId="16" borderId="1" xfId="0" applyFont="1" applyFill="1" applyBorder="1" applyAlignment="1">
      <alignment horizontal="center" wrapText="1"/>
    </xf>
    <xf numFmtId="0" fontId="3" fillId="16" borderId="1" xfId="0" quotePrefix="1" applyFont="1" applyFill="1" applyBorder="1" applyAlignment="1">
      <alignment horizontal="center" wrapText="1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right" vertical="top" indent="1"/>
    </xf>
    <xf numFmtId="0" fontId="0" fillId="0" borderId="0" xfId="0" applyAlignment="1">
      <alignment horizontal="right" vertical="top" wrapText="1" indent="1"/>
    </xf>
    <xf numFmtId="0" fontId="0" fillId="0" borderId="0" xfId="0" applyAlignment="1">
      <alignment horizontal="right" wrapText="1" indent="1"/>
    </xf>
    <xf numFmtId="5" fontId="0" fillId="0" borderId="1" xfId="1" applyNumberFormat="1" applyFont="1" applyBorder="1" applyAlignment="1">
      <alignment horizontal="center" vertical="top"/>
    </xf>
    <xf numFmtId="5" fontId="0" fillId="0" borderId="1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6" fontId="0" fillId="0" borderId="1" xfId="0" applyNumberFormat="1" applyBorder="1" applyAlignment="1">
      <alignment horizontal="center" vertical="top"/>
    </xf>
    <xf numFmtId="0" fontId="4" fillId="0" borderId="0" xfId="0" applyFont="1" applyAlignment="1">
      <alignment horizontal="left"/>
    </xf>
    <xf numFmtId="6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5" fontId="0" fillId="0" borderId="5" xfId="0" applyNumberFormat="1" applyBorder="1" applyAlignment="1">
      <alignment horizontal="center"/>
    </xf>
    <xf numFmtId="5" fontId="0" fillId="0" borderId="15" xfId="0" applyNumberFormat="1" applyBorder="1" applyAlignment="1">
      <alignment horizontal="center" vertical="top"/>
    </xf>
    <xf numFmtId="0" fontId="0" fillId="0" borderId="19" xfId="0" applyBorder="1"/>
    <xf numFmtId="0" fontId="12" fillId="0" borderId="20" xfId="0" applyFont="1" applyBorder="1" applyAlignment="1">
      <alignment horizontal="left" vertical="top" wrapText="1" indent="1"/>
    </xf>
    <xf numFmtId="164" fontId="9" fillId="0" borderId="1" xfId="0" applyNumberFormat="1" applyFont="1" applyBorder="1" applyAlignment="1">
      <alignment horizontal="center" vertical="top"/>
    </xf>
    <xf numFmtId="0" fontId="12" fillId="0" borderId="21" xfId="0" applyFont="1" applyBorder="1" applyAlignment="1">
      <alignment horizontal="left" vertical="top" wrapText="1" indent="1"/>
    </xf>
    <xf numFmtId="0" fontId="0" fillId="0" borderId="0" xfId="0" applyAlignment="1">
      <alignment horizontal="right" indent="2"/>
    </xf>
    <xf numFmtId="0" fontId="5" fillId="0" borderId="0" xfId="0" applyFont="1" applyAlignment="1">
      <alignment horizontal="left"/>
    </xf>
    <xf numFmtId="0" fontId="16" fillId="13" borderId="0" xfId="0" applyFont="1" applyFill="1" applyAlignment="1">
      <alignment horizontal="right" indent="2"/>
    </xf>
    <xf numFmtId="5" fontId="16" fillId="13" borderId="0" xfId="0" applyNumberFormat="1" applyFont="1" applyFill="1"/>
    <xf numFmtId="0" fontId="0" fillId="11" borderId="0" xfId="0" applyFill="1" applyAlignment="1">
      <alignment horizontal="right" indent="1"/>
    </xf>
    <xf numFmtId="0" fontId="0" fillId="11" borderId="0" xfId="0" applyFill="1"/>
    <xf numFmtId="10" fontId="0" fillId="0" borderId="0" xfId="0" applyNumberFormat="1" applyAlignment="1">
      <alignment horizontal="center"/>
    </xf>
    <xf numFmtId="167" fontId="0" fillId="0" borderId="0" xfId="2" applyNumberFormat="1" applyFont="1" applyFill="1" applyAlignment="1">
      <alignment horizontal="center"/>
    </xf>
    <xf numFmtId="0" fontId="0" fillId="0" borderId="0" xfId="0" applyAlignment="1">
      <alignment horizontal="center" vertical="top" wrapText="1"/>
    </xf>
    <xf numFmtId="5" fontId="0" fillId="11" borderId="0" xfId="0" applyNumberFormat="1" applyFill="1"/>
    <xf numFmtId="0" fontId="3" fillId="0" borderId="0" xfId="0" applyFont="1"/>
    <xf numFmtId="5" fontId="3" fillId="0" borderId="1" xfId="0" applyNumberFormat="1" applyFont="1" applyBorder="1" applyAlignment="1">
      <alignment horizontal="center"/>
    </xf>
    <xf numFmtId="6" fontId="0" fillId="0" borderId="0" xfId="0" applyNumberFormat="1"/>
    <xf numFmtId="9" fontId="0" fillId="0" borderId="0" xfId="2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0" xfId="2" applyNumberFormat="1" applyFont="1"/>
    <xf numFmtId="167" fontId="0" fillId="0" borderId="1" xfId="2" applyNumberFormat="1" applyFont="1" applyFill="1" applyBorder="1" applyAlignment="1">
      <alignment horizontal="center" vertical="top"/>
    </xf>
    <xf numFmtId="10" fontId="3" fillId="0" borderId="1" xfId="2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0" fontId="0" fillId="14" borderId="12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164" fontId="0" fillId="10" borderId="1" xfId="0" applyNumberFormat="1" applyFill="1" applyBorder="1" applyAlignment="1" applyProtection="1">
      <alignment horizontal="center"/>
      <protection locked="0"/>
    </xf>
    <xf numFmtId="5" fontId="0" fillId="14" borderId="14" xfId="1" applyNumberFormat="1" applyFont="1" applyFill="1" applyBorder="1" applyAlignment="1" applyProtection="1">
      <alignment horizontal="center"/>
      <protection locked="0"/>
    </xf>
    <xf numFmtId="5" fontId="0" fillId="14" borderId="14" xfId="1" applyNumberFormat="1" applyFont="1" applyFill="1" applyBorder="1" applyAlignment="1" applyProtection="1">
      <alignment horizontal="center" vertical="top"/>
      <protection locked="0"/>
    </xf>
    <xf numFmtId="164" fontId="0" fillId="10" borderId="1" xfId="0" applyNumberFormat="1" applyFill="1" applyBorder="1" applyAlignment="1" applyProtection="1">
      <alignment horizontal="center" vertical="top"/>
      <protection locked="0"/>
    </xf>
    <xf numFmtId="9" fontId="0" fillId="14" borderId="1" xfId="0" applyNumberFormat="1" applyFill="1" applyBorder="1" applyAlignment="1" applyProtection="1">
      <alignment horizontal="center" vertical="top"/>
      <protection locked="0"/>
    </xf>
    <xf numFmtId="10" fontId="0" fillId="14" borderId="1" xfId="0" applyNumberFormat="1" applyFill="1" applyBorder="1" applyAlignment="1" applyProtection="1">
      <alignment horizontal="center" vertical="top"/>
      <protection locked="0"/>
    </xf>
    <xf numFmtId="0" fontId="12" fillId="0" borderId="21" xfId="0" applyFont="1" applyBorder="1" applyAlignment="1">
      <alignment horizontal="left" vertical="top" wrapText="1" indent="1"/>
    </xf>
    <xf numFmtId="0" fontId="12" fillId="0" borderId="20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 indent="1"/>
    </xf>
    <xf numFmtId="0" fontId="12" fillId="0" borderId="19" xfId="0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left" vertical="top" wrapText="1" indent="1"/>
    </xf>
    <xf numFmtId="0" fontId="12" fillId="0" borderId="0" xfId="0" applyFont="1" applyAlignment="1">
      <alignment horizontal="left" vertical="top" wrapText="1" indent="1"/>
    </xf>
    <xf numFmtId="0" fontId="12" fillId="0" borderId="16" xfId="0" applyFont="1" applyBorder="1" applyAlignment="1">
      <alignment horizontal="left" vertical="top" wrapText="1" indent="1"/>
    </xf>
    <xf numFmtId="0" fontId="12" fillId="0" borderId="17" xfId="0" applyFont="1" applyBorder="1" applyAlignment="1">
      <alignment horizontal="left" vertical="top" wrapText="1" indent="1"/>
    </xf>
    <xf numFmtId="10" fontId="3" fillId="16" borderId="11" xfId="0" applyNumberFormat="1" applyFont="1" applyFill="1" applyBorder="1" applyAlignment="1">
      <alignment horizontal="center"/>
    </xf>
    <xf numFmtId="10" fontId="3" fillId="16" borderId="10" xfId="0" applyNumberFormat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14" borderId="1" xfId="0" applyFill="1" applyBorder="1" applyAlignment="1" applyProtection="1">
      <alignment horizontal="left"/>
      <protection locked="0"/>
    </xf>
    <xf numFmtId="10" fontId="3" fillId="16" borderId="13" xfId="0" applyNumberFormat="1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 wrapText="1"/>
    </xf>
    <xf numFmtId="0" fontId="3" fillId="16" borderId="6" xfId="0" applyFont="1" applyFill="1" applyBorder="1" applyAlignment="1">
      <alignment horizontal="center" wrapText="1"/>
    </xf>
    <xf numFmtId="0" fontId="3" fillId="16" borderId="11" xfId="0" applyFont="1" applyFill="1" applyBorder="1" applyAlignment="1">
      <alignment horizontal="center" wrapText="1"/>
    </xf>
    <xf numFmtId="0" fontId="3" fillId="16" borderId="10" xfId="0" applyFont="1" applyFill="1" applyBorder="1" applyAlignment="1">
      <alignment horizontal="center" wrapText="1"/>
    </xf>
    <xf numFmtId="0" fontId="3" fillId="16" borderId="13" xfId="0" applyFont="1" applyFill="1" applyBorder="1" applyAlignment="1">
      <alignment horizontal="center" wrapText="1"/>
    </xf>
    <xf numFmtId="0" fontId="3" fillId="16" borderId="9" xfId="0" applyFont="1" applyFill="1" applyBorder="1" applyAlignment="1">
      <alignment horizontal="center" wrapText="1"/>
    </xf>
    <xf numFmtId="0" fontId="3" fillId="16" borderId="3" xfId="0" applyFont="1" applyFill="1" applyBorder="1" applyAlignment="1">
      <alignment horizontal="center" wrapText="1"/>
    </xf>
    <xf numFmtId="0" fontId="3" fillId="16" borderId="8" xfId="0" applyFont="1" applyFill="1" applyBorder="1" applyAlignment="1">
      <alignment horizontal="center" wrapText="1"/>
    </xf>
    <xf numFmtId="5" fontId="3" fillId="0" borderId="11" xfId="0" applyNumberFormat="1" applyFont="1" applyBorder="1" applyAlignment="1">
      <alignment horizontal="center"/>
    </xf>
    <xf numFmtId="5" fontId="3" fillId="0" borderId="13" xfId="0" applyNumberFormat="1" applyFont="1" applyBorder="1" applyAlignment="1">
      <alignment horizontal="center"/>
    </xf>
    <xf numFmtId="5" fontId="3" fillId="0" borderId="10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Font="1"/>
    <xf numFmtId="0" fontId="0" fillId="17" borderId="11" xfId="0" applyFill="1" applyBorder="1" applyAlignment="1">
      <alignment horizontal="left"/>
    </xf>
    <xf numFmtId="0" fontId="0" fillId="17" borderId="13" xfId="0" applyFill="1" applyBorder="1" applyAlignment="1">
      <alignment horizontal="left"/>
    </xf>
    <xf numFmtId="0" fontId="0" fillId="17" borderId="10" xfId="0" applyFill="1" applyBorder="1" applyAlignment="1">
      <alignment horizontal="left"/>
    </xf>
  </cellXfs>
  <cellStyles count="5">
    <cellStyle name="Currency" xfId="1" builtinId="4"/>
    <cellStyle name="Currency 10" xfId="4" xr:uid="{75EB8768-D214-4100-8845-4CE66CF73F19}"/>
    <cellStyle name="Normal" xfId="0" builtinId="0"/>
    <cellStyle name="Percent" xfId="2" builtinId="5"/>
    <cellStyle name="Percent 10" xfId="3" xr:uid="{C828B147-CFBF-4025-B150-916C91DCA48C}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ker Heegaard" id="{E80A9B3F-3287-4A4E-B2E5-014826102182}" userId="25bf8685a266e92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3" dT="2023-07-19T15:06:12.32" personId="{E80A9B3F-3287-4A4E-B2E5-014826102182}" id="{A3D46A29-5490-4747-9236-9BC64C6D891B}">
    <text>for testing, assume market rents higher or lower here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8EB2-F6A3-432E-B0DA-DC872E2DC67D}">
  <dimension ref="B1:Z164"/>
  <sheetViews>
    <sheetView tabSelected="1" zoomScale="99" zoomScaleNormal="99" zoomScaleSheetLayoutView="66" workbookViewId="0">
      <selection activeCell="C55" sqref="C55:G55"/>
    </sheetView>
  </sheetViews>
  <sheetFormatPr defaultRowHeight="15" x14ac:dyDescent="0.25"/>
  <cols>
    <col min="1" max="1" width="2.5703125" customWidth="1"/>
    <col min="2" max="2" width="31.42578125" customWidth="1"/>
    <col min="3" max="26" width="19.28515625" customWidth="1"/>
  </cols>
  <sheetData>
    <row r="1" spans="2:22" ht="18.75" x14ac:dyDescent="0.3">
      <c r="B1" s="114" t="s">
        <v>448</v>
      </c>
    </row>
    <row r="2" spans="2:22" ht="15.75" x14ac:dyDescent="0.25">
      <c r="B2" s="115" t="s">
        <v>328</v>
      </c>
    </row>
    <row r="3" spans="2:22" ht="6" customHeight="1" x14ac:dyDescent="0.25"/>
    <row r="4" spans="2:22" x14ac:dyDescent="0.25">
      <c r="B4" s="83" t="s">
        <v>320</v>
      </c>
      <c r="C4" s="177"/>
      <c r="D4" s="177"/>
    </row>
    <row r="5" spans="2:22" x14ac:dyDescent="0.25">
      <c r="B5" s="83" t="s">
        <v>319</v>
      </c>
      <c r="C5" s="156" t="s">
        <v>53</v>
      </c>
      <c r="T5" s="59"/>
      <c r="U5" s="59"/>
      <c r="V5" s="59"/>
    </row>
    <row r="6" spans="2:22" ht="6" customHeight="1" x14ac:dyDescent="0.25">
      <c r="B6" s="83"/>
      <c r="C6" s="149"/>
      <c r="T6" s="59"/>
      <c r="U6" s="59"/>
      <c r="V6" s="59"/>
    </row>
    <row r="7" spans="2:22" ht="6" customHeight="1" x14ac:dyDescent="0.25">
      <c r="B7" s="83"/>
      <c r="C7" s="14"/>
      <c r="T7" s="59"/>
      <c r="U7" s="59"/>
      <c r="V7" s="59"/>
    </row>
    <row r="8" spans="2:22" ht="14.25" customHeight="1" x14ac:dyDescent="0.25">
      <c r="B8" s="83"/>
      <c r="C8" s="150"/>
      <c r="D8" s="181" t="s">
        <v>427</v>
      </c>
      <c r="E8" s="183"/>
      <c r="F8" s="183"/>
      <c r="G8" s="182"/>
      <c r="H8" s="179" t="s">
        <v>300</v>
      </c>
      <c r="T8" s="59"/>
      <c r="U8" s="59"/>
      <c r="V8" s="59"/>
    </row>
    <row r="9" spans="2:22" ht="14.25" customHeight="1" x14ac:dyDescent="0.25">
      <c r="B9" s="83"/>
      <c r="C9" s="151"/>
      <c r="D9" s="181" t="s">
        <v>426</v>
      </c>
      <c r="E9" s="182"/>
      <c r="F9" s="184" t="s">
        <v>297</v>
      </c>
      <c r="G9" s="185" t="s">
        <v>298</v>
      </c>
      <c r="H9" s="179"/>
      <c r="T9" s="59"/>
      <c r="U9" s="59"/>
      <c r="V9" s="59"/>
    </row>
    <row r="10" spans="2:22" ht="14.45" customHeight="1" x14ac:dyDescent="0.25">
      <c r="B10" s="83"/>
      <c r="C10" s="112" t="s">
        <v>6</v>
      </c>
      <c r="D10" s="112" t="s">
        <v>295</v>
      </c>
      <c r="E10" s="112" t="s">
        <v>296</v>
      </c>
      <c r="F10" s="180"/>
      <c r="G10" s="186"/>
      <c r="H10" s="180"/>
    </row>
    <row r="11" spans="2:22" x14ac:dyDescent="0.25">
      <c r="B11" s="83" t="s">
        <v>0</v>
      </c>
      <c r="C11" s="106">
        <f>SUM(D11:H11)</f>
        <v>0</v>
      </c>
      <c r="D11" s="157"/>
      <c r="E11" s="157"/>
      <c r="F11" s="157"/>
      <c r="G11" s="157"/>
      <c r="H11" s="157"/>
    </row>
    <row r="12" spans="2:22" x14ac:dyDescent="0.25">
      <c r="B12" s="83" t="s">
        <v>1</v>
      </c>
      <c r="C12" s="106">
        <f t="shared" ref="C12:C15" si="0">SUM(D12:H12)</f>
        <v>0</v>
      </c>
      <c r="D12" s="157"/>
      <c r="E12" s="157"/>
      <c r="F12" s="157"/>
      <c r="G12" s="157"/>
      <c r="H12" s="157"/>
    </row>
    <row r="13" spans="2:22" x14ac:dyDescent="0.25">
      <c r="B13" s="83" t="s">
        <v>2</v>
      </c>
      <c r="C13" s="106">
        <f t="shared" si="0"/>
        <v>0</v>
      </c>
      <c r="D13" s="157"/>
      <c r="E13" s="157"/>
      <c r="F13" s="157"/>
      <c r="G13" s="157"/>
      <c r="H13" s="157"/>
    </row>
    <row r="14" spans="2:22" x14ac:dyDescent="0.25">
      <c r="B14" s="83" t="s">
        <v>3</v>
      </c>
      <c r="C14" s="106">
        <f t="shared" si="0"/>
        <v>0</v>
      </c>
      <c r="D14" s="157"/>
      <c r="E14" s="157"/>
      <c r="F14" s="157"/>
      <c r="G14" s="157"/>
      <c r="H14" s="157"/>
    </row>
    <row r="15" spans="2:22" x14ac:dyDescent="0.25">
      <c r="B15" s="83" t="s">
        <v>4</v>
      </c>
      <c r="C15" s="108">
        <f t="shared" si="0"/>
        <v>0</v>
      </c>
      <c r="D15" s="157"/>
      <c r="E15" s="157"/>
      <c r="F15" s="157"/>
      <c r="G15" s="157"/>
      <c r="H15" s="157"/>
    </row>
    <row r="16" spans="2:22" x14ac:dyDescent="0.25">
      <c r="B16" s="83" t="s">
        <v>145</v>
      </c>
      <c r="C16" s="106">
        <f t="shared" ref="C16:H16" si="1">SUM(C11:C15)</f>
        <v>0</v>
      </c>
      <c r="D16" s="106">
        <f t="shared" si="1"/>
        <v>0</v>
      </c>
      <c r="E16" s="106">
        <f t="shared" si="1"/>
        <v>0</v>
      </c>
      <c r="F16" s="106">
        <f t="shared" si="1"/>
        <v>0</v>
      </c>
      <c r="G16" s="106">
        <f t="shared" si="1"/>
        <v>0</v>
      </c>
      <c r="H16" s="106">
        <f t="shared" si="1"/>
        <v>0</v>
      </c>
    </row>
    <row r="17" spans="2:8" x14ac:dyDescent="0.25">
      <c r="B17" s="83" t="s">
        <v>299</v>
      </c>
      <c r="C17" s="111" t="str">
        <f>IF(OR(C16=0,C16=""),"",C16/C16)</f>
        <v/>
      </c>
      <c r="D17" s="61" t="str">
        <f>IF(C16=0,"",D16/$C$16)</f>
        <v/>
      </c>
      <c r="E17" s="61" t="str">
        <f>IF($C$16=0,"",E16/$C$16)</f>
        <v/>
      </c>
      <c r="F17" s="61" t="str">
        <f>IF($C$16=0,"",F16/$C$16)</f>
        <v/>
      </c>
      <c r="G17" s="61" t="str">
        <f>IF($C$16=0,"",G16/$C$16)</f>
        <v/>
      </c>
      <c r="H17" s="61" t="str">
        <f>IF($C$16=0,"",H16/$C$16)</f>
        <v/>
      </c>
    </row>
    <row r="18" spans="2:8" ht="6" customHeight="1" x14ac:dyDescent="0.25">
      <c r="B18" s="83"/>
    </row>
    <row r="19" spans="2:8" ht="45" x14ac:dyDescent="0.25">
      <c r="B19" s="83"/>
      <c r="C19" s="113" t="s">
        <v>424</v>
      </c>
      <c r="D19" s="113" t="s">
        <v>301</v>
      </c>
      <c r="E19" s="112" t="s">
        <v>425</v>
      </c>
      <c r="F19" s="112" t="s">
        <v>447</v>
      </c>
      <c r="G19" s="112" t="s">
        <v>446</v>
      </c>
      <c r="H19" s="112" t="s">
        <v>5</v>
      </c>
    </row>
    <row r="20" spans="2:8" x14ac:dyDescent="0.25">
      <c r="B20" s="83" t="s">
        <v>0</v>
      </c>
      <c r="C20" s="106">
        <f t="shared" ref="C20:C25" si="2">SUM(D11:G11)</f>
        <v>0</v>
      </c>
      <c r="D20" s="106">
        <f t="shared" ref="D20:D25" si="3">C11-C20</f>
        <v>0</v>
      </c>
      <c r="E20" s="109" t="str">
        <f>IF(OR(C20=0,D20=0),"NA",C20/(C20+D20))</f>
        <v>NA</v>
      </c>
      <c r="F20" s="158"/>
      <c r="G20" s="158"/>
      <c r="H20" s="158"/>
    </row>
    <row r="21" spans="2:8" x14ac:dyDescent="0.25">
      <c r="B21" s="83" t="s">
        <v>1</v>
      </c>
      <c r="C21" s="106">
        <f t="shared" si="2"/>
        <v>0</v>
      </c>
      <c r="D21" s="106">
        <f t="shared" si="3"/>
        <v>0</v>
      </c>
      <c r="E21" s="109" t="str">
        <f t="shared" ref="E21:E25" si="4">IF(OR(C21=0,D21=0),"NA",C21/(C21+D21))</f>
        <v>NA</v>
      </c>
      <c r="F21" s="158"/>
      <c r="G21" s="158"/>
      <c r="H21" s="158"/>
    </row>
    <row r="22" spans="2:8" x14ac:dyDescent="0.25">
      <c r="B22" s="83" t="s">
        <v>2</v>
      </c>
      <c r="C22" s="106">
        <f t="shared" si="2"/>
        <v>0</v>
      </c>
      <c r="D22" s="106">
        <f t="shared" si="3"/>
        <v>0</v>
      </c>
      <c r="E22" s="109" t="str">
        <f t="shared" si="4"/>
        <v>NA</v>
      </c>
      <c r="F22" s="158"/>
      <c r="G22" s="158"/>
      <c r="H22" s="158"/>
    </row>
    <row r="23" spans="2:8" x14ac:dyDescent="0.25">
      <c r="B23" s="83" t="s">
        <v>3</v>
      </c>
      <c r="C23" s="106">
        <f t="shared" si="2"/>
        <v>0</v>
      </c>
      <c r="D23" s="106">
        <f t="shared" si="3"/>
        <v>0</v>
      </c>
      <c r="E23" s="109" t="str">
        <f t="shared" si="4"/>
        <v>NA</v>
      </c>
      <c r="F23" s="158"/>
      <c r="G23" s="158"/>
      <c r="H23" s="158"/>
    </row>
    <row r="24" spans="2:8" x14ac:dyDescent="0.25">
      <c r="B24" s="83" t="s">
        <v>4</v>
      </c>
      <c r="C24" s="106">
        <f t="shared" si="2"/>
        <v>0</v>
      </c>
      <c r="D24" s="106">
        <f t="shared" si="3"/>
        <v>0</v>
      </c>
      <c r="E24" s="109" t="str">
        <f>IF(OR(C24=0,D24=0),"NA",C24/(C24+D24))</f>
        <v>NA</v>
      </c>
      <c r="F24" s="158"/>
      <c r="G24" s="158"/>
      <c r="H24" s="158"/>
    </row>
    <row r="25" spans="2:8" x14ac:dyDescent="0.25">
      <c r="B25" s="83" t="s">
        <v>145</v>
      </c>
      <c r="C25" s="106">
        <f t="shared" si="2"/>
        <v>0</v>
      </c>
      <c r="D25" s="106">
        <f t="shared" si="3"/>
        <v>0</v>
      </c>
      <c r="E25" s="109" t="str">
        <f t="shared" si="4"/>
        <v>NA</v>
      </c>
    </row>
    <row r="26" spans="2:8" x14ac:dyDescent="0.25">
      <c r="B26" s="83" t="s">
        <v>299</v>
      </c>
      <c r="C26" s="61" t="str">
        <f>IF($C$16=0,"",C25/C16)</f>
        <v/>
      </c>
      <c r="D26" s="61" t="str">
        <f>IF(C16=0,"",D25/C16)</f>
        <v/>
      </c>
      <c r="E26" s="110"/>
      <c r="H26" s="155"/>
    </row>
    <row r="27" spans="2:8" ht="6" customHeight="1" x14ac:dyDescent="0.25">
      <c r="B27" s="83"/>
    </row>
    <row r="28" spans="2:8" ht="30" x14ac:dyDescent="0.25">
      <c r="C28" s="112" t="s">
        <v>350</v>
      </c>
      <c r="D28" s="112" t="s">
        <v>143</v>
      </c>
      <c r="E28" s="112" t="s">
        <v>311</v>
      </c>
      <c r="F28" s="112" t="s">
        <v>312</v>
      </c>
      <c r="G28" s="112" t="s">
        <v>428</v>
      </c>
    </row>
    <row r="29" spans="2:8" x14ac:dyDescent="0.25">
      <c r="B29" s="83" t="s">
        <v>0</v>
      </c>
      <c r="C29" s="56">
        <f>120%*'Calc AMI Rents'!B143</f>
        <v>1030.8</v>
      </c>
      <c r="D29" s="56">
        <f>'Calc AMI Rents'!A102</f>
        <v>1180</v>
      </c>
      <c r="E29" s="56">
        <f>'Calc AMI Rents'!A116</f>
        <v>1327</v>
      </c>
      <c r="F29" s="56">
        <f>'Calc AMI Rents'!A130</f>
        <v>1475</v>
      </c>
      <c r="G29" s="56" t="str">
        <f>IF(C20=0,"NA",((D11*C29)+(E11*D29)+(F11*E29)+(G11*F29))/C20)</f>
        <v>NA</v>
      </c>
    </row>
    <row r="30" spans="2:8" x14ac:dyDescent="0.25">
      <c r="B30" s="83" t="s">
        <v>1</v>
      </c>
      <c r="C30" s="56">
        <f>120%*'Calc AMI Rents'!C143</f>
        <v>1051.2</v>
      </c>
      <c r="D30" s="57">
        <f>'Calc AMI Rents'!B102</f>
        <v>1264</v>
      </c>
      <c r="E30" s="57">
        <f>'Calc AMI Rents'!B116</f>
        <v>1422</v>
      </c>
      <c r="F30" s="57">
        <f>'Calc AMI Rents'!B130</f>
        <v>1580</v>
      </c>
      <c r="G30" s="56" t="str">
        <f>IF(C21=0,"NA",((D12*C30)+(E12*D30)+(F12*E30)+(G12*F30))/C21)</f>
        <v>NA</v>
      </c>
    </row>
    <row r="31" spans="2:8" x14ac:dyDescent="0.25">
      <c r="B31" s="83" t="s">
        <v>2</v>
      </c>
      <c r="C31" s="56">
        <f>120%*'Calc AMI Rents'!D143</f>
        <v>1206</v>
      </c>
      <c r="D31" s="57">
        <f>'Calc AMI Rents'!C102</f>
        <v>1517</v>
      </c>
      <c r="E31" s="57">
        <f>'Calc AMI Rents'!C116</f>
        <v>1707</v>
      </c>
      <c r="F31" s="57">
        <f>'Calc AMI Rents'!C130</f>
        <v>1896</v>
      </c>
      <c r="G31" s="56" t="str">
        <f>IF(C22=0,"NA",((D13*C31)+(E13*D31)+(F13*E31)+(G13*F31))/C22)</f>
        <v>NA</v>
      </c>
    </row>
    <row r="32" spans="2:8" x14ac:dyDescent="0.25">
      <c r="B32" s="83" t="s">
        <v>3</v>
      </c>
      <c r="C32" s="56">
        <f>120%*'Calc AMI Rents'!E143</f>
        <v>1519.2</v>
      </c>
      <c r="D32" s="57">
        <f>'Calc AMI Rents'!D102</f>
        <v>1753</v>
      </c>
      <c r="E32" s="57">
        <f>'Calc AMI Rents'!D116</f>
        <v>1972</v>
      </c>
      <c r="F32" s="57">
        <f>'Calc AMI Rents'!D130</f>
        <v>2191</v>
      </c>
      <c r="G32" s="56" t="str">
        <f>IF(C23=0,"NA",((D14*C32)+(E14*D32)+(F14*E32)+(G14*F32))/C23)</f>
        <v>NA</v>
      </c>
    </row>
    <row r="33" spans="2:7" x14ac:dyDescent="0.25">
      <c r="B33" s="83" t="s">
        <v>4</v>
      </c>
      <c r="C33" s="56">
        <f>120%*'Calc AMI Rents'!F143</f>
        <v>1972.8</v>
      </c>
      <c r="D33" s="57">
        <f>'Calc AMI Rents'!E102</f>
        <v>1956</v>
      </c>
      <c r="E33" s="57">
        <f>'Calc AMI Rents'!E116</f>
        <v>2200</v>
      </c>
      <c r="F33" s="57">
        <f>'Calc AMI Rents'!E130</f>
        <v>2445</v>
      </c>
      <c r="G33" s="56" t="str">
        <f>IF(C24=0,"NA",((D15*C33)+(E15*D33)+(F15*E33)+(G15*F33))/C24)</f>
        <v>NA</v>
      </c>
    </row>
    <row r="34" spans="2:7" ht="6" customHeight="1" x14ac:dyDescent="0.25">
      <c r="C34" s="107"/>
    </row>
    <row r="35" spans="2:7" ht="30" x14ac:dyDescent="0.25">
      <c r="C35" s="112" t="s">
        <v>316</v>
      </c>
      <c r="D35" s="112" t="s">
        <v>144</v>
      </c>
      <c r="E35" s="112" t="s">
        <v>313</v>
      </c>
      <c r="F35" s="112" t="s">
        <v>314</v>
      </c>
      <c r="G35" s="112" t="s">
        <v>429</v>
      </c>
    </row>
    <row r="36" spans="2:7" x14ac:dyDescent="0.25">
      <c r="B36" s="83" t="s">
        <v>0</v>
      </c>
      <c r="C36" s="56">
        <f>C29-$F20</f>
        <v>1030.8</v>
      </c>
      <c r="D36" s="56">
        <f t="shared" ref="C36:F40" si="5">D29-$G20</f>
        <v>1180</v>
      </c>
      <c r="E36" s="56">
        <f t="shared" si="5"/>
        <v>1327</v>
      </c>
      <c r="F36" s="56">
        <f t="shared" si="5"/>
        <v>1475</v>
      </c>
      <c r="G36" s="56" t="str">
        <f>IF(C20=0,"NA",((D11*C36)+(E11*D36)+(F11*E36)+(G11*F36))/C20)</f>
        <v>NA</v>
      </c>
    </row>
    <row r="37" spans="2:7" x14ac:dyDescent="0.25">
      <c r="B37" s="83" t="s">
        <v>1</v>
      </c>
      <c r="C37" s="56">
        <f>C30-$F21</f>
        <v>1051.2</v>
      </c>
      <c r="D37" s="56">
        <f t="shared" si="5"/>
        <v>1264</v>
      </c>
      <c r="E37" s="56">
        <f t="shared" si="5"/>
        <v>1422</v>
      </c>
      <c r="F37" s="56">
        <f t="shared" si="5"/>
        <v>1580</v>
      </c>
      <c r="G37" s="56" t="str">
        <f>IF(C21=0,"NA",((D12*C37)+(E12*D37)+(F12*E37)+(G12*F37))/C21)</f>
        <v>NA</v>
      </c>
    </row>
    <row r="38" spans="2:7" x14ac:dyDescent="0.25">
      <c r="B38" s="83" t="s">
        <v>2</v>
      </c>
      <c r="C38" s="56">
        <f>C31-$F22</f>
        <v>1206</v>
      </c>
      <c r="D38" s="56">
        <f t="shared" si="5"/>
        <v>1517</v>
      </c>
      <c r="E38" s="56">
        <f t="shared" si="5"/>
        <v>1707</v>
      </c>
      <c r="F38" s="56">
        <f t="shared" si="5"/>
        <v>1896</v>
      </c>
      <c r="G38" s="56" t="str">
        <f>IF(C22=0,"NA",((D13*C38)+(E13*D38)+(F13*E38)+(G13*F38))/C22)</f>
        <v>NA</v>
      </c>
    </row>
    <row r="39" spans="2:7" x14ac:dyDescent="0.25">
      <c r="B39" s="83" t="s">
        <v>3</v>
      </c>
      <c r="C39" s="56">
        <f>C32-$F23</f>
        <v>1519.2</v>
      </c>
      <c r="D39" s="56">
        <f t="shared" si="5"/>
        <v>1753</v>
      </c>
      <c r="E39" s="56">
        <f t="shared" si="5"/>
        <v>1972</v>
      </c>
      <c r="F39" s="56">
        <f t="shared" si="5"/>
        <v>2191</v>
      </c>
      <c r="G39" s="56" t="str">
        <f>IF(C23=0,"NA",((D14*C39)+(E14*D39)+(F14*E39)+(G14*F39))/C23)</f>
        <v>NA</v>
      </c>
    </row>
    <row r="40" spans="2:7" x14ac:dyDescent="0.25">
      <c r="B40" s="83" t="s">
        <v>4</v>
      </c>
      <c r="C40" s="56">
        <f>C33-$F24</f>
        <v>1972.8</v>
      </c>
      <c r="D40" s="56">
        <f t="shared" si="5"/>
        <v>1956</v>
      </c>
      <c r="E40" s="56">
        <f t="shared" si="5"/>
        <v>2200</v>
      </c>
      <c r="F40" s="56">
        <f t="shared" si="5"/>
        <v>2445</v>
      </c>
      <c r="G40" s="56" t="str">
        <f>IF(C24=0,"NA",((D15*C40)+(E15*D40)+(F15*E40)+(G15*F40))/C24)</f>
        <v>NA</v>
      </c>
    </row>
    <row r="41" spans="2:7" ht="6" customHeight="1" x14ac:dyDescent="0.25">
      <c r="C41" s="107"/>
    </row>
    <row r="42" spans="2:7" ht="45" x14ac:dyDescent="0.25">
      <c r="C42" s="112" t="s">
        <v>151</v>
      </c>
      <c r="D42" s="112" t="s">
        <v>321</v>
      </c>
      <c r="E42" s="112" t="s">
        <v>150</v>
      </c>
      <c r="F42" s="112" t="s">
        <v>264</v>
      </c>
    </row>
    <row r="43" spans="2:7" x14ac:dyDescent="0.25">
      <c r="B43" s="83" t="s">
        <v>0</v>
      </c>
      <c r="C43" s="56">
        <f>H20+G20</f>
        <v>0</v>
      </c>
      <c r="D43" s="56">
        <f>'Calc AMI Rents'!A130</f>
        <v>1475</v>
      </c>
      <c r="E43" s="61">
        <f>C43/D43</f>
        <v>0</v>
      </c>
      <c r="F43" s="77" t="str">
        <f>IF(G29="NA","NA",C43-G29)</f>
        <v>NA</v>
      </c>
    </row>
    <row r="44" spans="2:7" x14ac:dyDescent="0.25">
      <c r="B44" s="83" t="s">
        <v>1</v>
      </c>
      <c r="C44" s="56">
        <f>H21+G21</f>
        <v>0</v>
      </c>
      <c r="D44" s="56">
        <f>'Calc AMI Rents'!B130</f>
        <v>1580</v>
      </c>
      <c r="E44" s="61">
        <f t="shared" ref="E44:E47" si="6">C44/D44</f>
        <v>0</v>
      </c>
      <c r="F44" s="77" t="str">
        <f>IF(G30="NA","NA",C44-G30)</f>
        <v>NA</v>
      </c>
    </row>
    <row r="45" spans="2:7" x14ac:dyDescent="0.25">
      <c r="B45" s="83" t="s">
        <v>2</v>
      </c>
      <c r="C45" s="56">
        <f>H22+G22</f>
        <v>0</v>
      </c>
      <c r="D45" s="56">
        <f>'Calc AMI Rents'!C130</f>
        <v>1896</v>
      </c>
      <c r="E45" s="61">
        <f t="shared" si="6"/>
        <v>0</v>
      </c>
      <c r="F45" s="77" t="str">
        <f>IF(G31="NA","NA",C45-G31)</f>
        <v>NA</v>
      </c>
    </row>
    <row r="46" spans="2:7" x14ac:dyDescent="0.25">
      <c r="B46" s="83" t="s">
        <v>3</v>
      </c>
      <c r="C46" s="56">
        <f>H23+G23</f>
        <v>0</v>
      </c>
      <c r="D46" s="56">
        <f>'Calc AMI Rents'!D130</f>
        <v>2191</v>
      </c>
      <c r="E46" s="61">
        <f t="shared" si="6"/>
        <v>0</v>
      </c>
      <c r="F46" s="77" t="str">
        <f>IF(G32="NA","NA",C46-G32)</f>
        <v>NA</v>
      </c>
    </row>
    <row r="47" spans="2:7" x14ac:dyDescent="0.25">
      <c r="B47" s="83" t="s">
        <v>4</v>
      </c>
      <c r="C47" s="56">
        <f>H24+G24</f>
        <v>0</v>
      </c>
      <c r="D47" s="56">
        <f>'Calc AMI Rents'!E130</f>
        <v>2445</v>
      </c>
      <c r="E47" s="61">
        <f t="shared" si="6"/>
        <v>0</v>
      </c>
      <c r="F47" s="77" t="str">
        <f>IF(G33="NA","NA",C47-G33)</f>
        <v>NA</v>
      </c>
    </row>
    <row r="48" spans="2:7" ht="6" customHeight="1" x14ac:dyDescent="0.25"/>
    <row r="49" spans="2:26" ht="14.45" customHeight="1" x14ac:dyDescent="0.25">
      <c r="B49" s="116" t="s">
        <v>327</v>
      </c>
      <c r="C49" s="153" t="str">
        <f>IF(C16=0,"",SUMPRODUCT(C11:C15,C43:C47)/SUMPRODUCT(C11:C15,D43:D47))</f>
        <v/>
      </c>
      <c r="D49" s="170" t="str">
        <f>IF($C$16=0,"Enter Data Above",CONCATENATE("(Weighted Avg or 'WA')--Market Units are Affordable to HH's at ",TEXT(C49,"0.0%")," of AMI."))</f>
        <v>Enter Data Above</v>
      </c>
      <c r="E49" s="171"/>
      <c r="F49" s="171"/>
      <c r="G49" s="171"/>
      <c r="Y49" s="59"/>
      <c r="Z49" s="76"/>
    </row>
    <row r="50" spans="2:26" ht="14.45" customHeight="1" x14ac:dyDescent="0.25">
      <c r="B50" s="117" t="s">
        <v>341</v>
      </c>
      <c r="C50" s="119" t="str">
        <f>IF(C16=0,"",SUMPRODUCT(C20:C24,G29:G33)/C25)</f>
        <v/>
      </c>
      <c r="D50" s="166" t="str">
        <f>IF($C$16=0,"Enter Data Above",CONCATENATE("The WA affordable housing cost (gross rent before utility allowances) is ",TEXT(C50,"$0,0"),"."))</f>
        <v>Enter Data Above</v>
      </c>
      <c r="E50" s="167"/>
      <c r="F50" s="167"/>
      <c r="G50" s="167"/>
      <c r="Y50" s="59"/>
      <c r="Z50" s="76"/>
    </row>
    <row r="51" spans="2:26" ht="14.45" customHeight="1" x14ac:dyDescent="0.25">
      <c r="B51" s="117" t="s">
        <v>340</v>
      </c>
      <c r="C51" s="119" t="str">
        <f>IF(C16=0,"",SUMPRODUCT(D20:D24,C43:C47)/D25)</f>
        <v/>
      </c>
      <c r="D51" s="166" t="str">
        <f>IF($C$16=0,"Enter Data Above",CONCATENATE("The WA market rent (housing cost plus cost of utilities) is ",TEXT(C51,"$0,0"),"."))</f>
        <v>Enter Data Above</v>
      </c>
      <c r="E51" s="167"/>
      <c r="F51" s="167"/>
      <c r="G51" s="167"/>
      <c r="Y51" s="59"/>
      <c r="Z51" s="76"/>
    </row>
    <row r="52" spans="2:26" ht="30.95" customHeight="1" x14ac:dyDescent="0.25">
      <c r="B52" s="117" t="s">
        <v>326</v>
      </c>
      <c r="C52" s="120" t="str">
        <f>IF(C16=0,"",C51-C50)</f>
        <v/>
      </c>
      <c r="D52" s="166" t="str">
        <f>IF($C$16=0,"Enter Data Above",CONCATENATE("Consequently, in YR1, rent restrictions represent a ",TEXT(C52,"$000"), " reduction from market in the average monthly rent."))</f>
        <v>Enter Data Above</v>
      </c>
      <c r="E52" s="167"/>
      <c r="F52" s="167"/>
      <c r="G52" s="167"/>
      <c r="Y52" s="59"/>
      <c r="Z52" s="76"/>
    </row>
    <row r="53" spans="2:26" ht="6" customHeight="1" x14ac:dyDescent="0.25">
      <c r="C53" s="75"/>
      <c r="D53" s="75"/>
      <c r="E53" s="75"/>
      <c r="F53" s="75"/>
      <c r="G53" s="75"/>
      <c r="Y53" s="59"/>
      <c r="Z53" s="76"/>
    </row>
    <row r="54" spans="2:26" x14ac:dyDescent="0.25">
      <c r="C54" s="172" t="s">
        <v>329</v>
      </c>
      <c r="D54" s="178"/>
      <c r="E54" s="178"/>
      <c r="F54" s="178"/>
      <c r="G54" s="173"/>
    </row>
    <row r="55" spans="2:26" x14ac:dyDescent="0.25">
      <c r="B55" s="59"/>
      <c r="C55" s="194" t="s">
        <v>451</v>
      </c>
      <c r="D55" s="195"/>
      <c r="E55" s="195"/>
      <c r="F55" s="195"/>
      <c r="G55" s="196"/>
      <c r="H55" s="125" t="s">
        <v>449</v>
      </c>
      <c r="I55" s="62" t="s">
        <v>450</v>
      </c>
      <c r="K55" s="193"/>
      <c r="L55" s="193"/>
    </row>
    <row r="56" spans="2:26" x14ac:dyDescent="0.25">
      <c r="C56" s="174" t="str">
        <f>IF(C16=0,"Enter Data Above",IF(AND($F$16&gt;0,$C$49&lt;1.1),"Market Rents must be above 110% AMI to schedule 90% AMI Units","Market rents &gt;110% AMI--90% AMI Units are OK--"))</f>
        <v>Enter Data Above</v>
      </c>
      <c r="D56" s="175"/>
      <c r="E56" s="175"/>
      <c r="F56" s="175"/>
      <c r="G56" s="176"/>
      <c r="H56" s="62" t="s">
        <v>330</v>
      </c>
      <c r="I56" s="62" t="s">
        <v>331</v>
      </c>
    </row>
    <row r="57" spans="2:26" x14ac:dyDescent="0.25">
      <c r="C57" s="174" t="str">
        <f>IF(C16=0,"Enter Data Above",IF(F17&gt;10%,"No more than 10% of units may be scheduled at 90% AMI.","OK. Less than 10% of units are proposed at 90% AMI."))</f>
        <v>Enter Data Above</v>
      </c>
      <c r="D57" s="175"/>
      <c r="E57" s="175"/>
      <c r="F57" s="175"/>
      <c r="G57" s="176"/>
      <c r="H57" s="62" t="s">
        <v>420</v>
      </c>
      <c r="I57" s="62" t="s">
        <v>421</v>
      </c>
    </row>
    <row r="58" spans="2:26" x14ac:dyDescent="0.25">
      <c r="C58" s="174" t="str">
        <f>IF(C16=0,"Enter Data Above",IF(AND($G$16&gt;0,$C$49&lt;1.2),"Market Rents must be above 120% AMI to schedule 100% AMI Units","Market rents &gt;120% AMI--100% AMI Units are OK--"))</f>
        <v>Enter Data Above</v>
      </c>
      <c r="D58" s="175"/>
      <c r="E58" s="175"/>
      <c r="F58" s="175"/>
      <c r="G58" s="176"/>
      <c r="H58" s="62" t="s">
        <v>332</v>
      </c>
      <c r="I58" s="62" t="s">
        <v>333</v>
      </c>
    </row>
    <row r="59" spans="2:26" x14ac:dyDescent="0.25">
      <c r="C59" s="174" t="str">
        <f>IF(C16=0,"Enter Data Above",IF(G17&gt;F17,"Percentage of 100% AMI units may not exceed percentage of 90% AMI units.","OK, Percentage of 100% units does not exceed percentage of 90% units."))</f>
        <v>Enter Data Above</v>
      </c>
      <c r="D59" s="175"/>
      <c r="E59" s="175"/>
      <c r="F59" s="175"/>
      <c r="G59" s="176"/>
      <c r="H59" s="62" t="s">
        <v>422</v>
      </c>
      <c r="I59" s="62" t="s">
        <v>423</v>
      </c>
    </row>
    <row r="60" spans="2:26" x14ac:dyDescent="0.25">
      <c r="C60" s="174" t="str">
        <f>IF(C16=0,"Enter Data Above",IF(D17&lt;2%,"You must set aside at least 2% of units as PSH","Meets the requirement that 2% of units be set aside for PSH--OK"))</f>
        <v>Enter Data Above</v>
      </c>
      <c r="D60" s="175"/>
      <c r="E60" s="175"/>
      <c r="F60" s="175"/>
      <c r="G60" s="176"/>
      <c r="H60" s="62" t="s">
        <v>346</v>
      </c>
      <c r="I60" s="62" t="s">
        <v>347</v>
      </c>
    </row>
    <row r="61" spans="2:26" x14ac:dyDescent="0.25">
      <c r="C61" s="174" t="str">
        <f>IF(C16=0,"Enter Data Above",IF((D17+E17)&lt;51%,"At least 51% of units must be &lt;80% AMI (includes PSH)","51% of units are &lt;80% AMI--OK"))</f>
        <v>Enter Data Above</v>
      </c>
      <c r="D61" s="175"/>
      <c r="E61" s="175"/>
      <c r="F61" s="175"/>
      <c r="G61" s="176"/>
      <c r="H61" s="62" t="s">
        <v>348</v>
      </c>
      <c r="I61" s="62" t="s">
        <v>349</v>
      </c>
    </row>
    <row r="62" spans="2:26" x14ac:dyDescent="0.25">
      <c r="C62" s="174" t="str">
        <f>IF(C16=0,"Enter Data Above",IF(C70&gt;15000000,"Your request exceeds maximum per project.","OK. Request below maximum per project."))</f>
        <v>Enter Data Above</v>
      </c>
      <c r="D62" s="175"/>
      <c r="E62" s="175"/>
      <c r="F62" s="175"/>
      <c r="G62" s="176"/>
      <c r="H62" s="62" t="s">
        <v>416</v>
      </c>
      <c r="I62" s="62" t="s">
        <v>417</v>
      </c>
    </row>
    <row r="63" spans="2:26" x14ac:dyDescent="0.25">
      <c r="C63" s="174" t="str">
        <f>IF(C16=0,"Enter Data Above",IF(C71&gt;200000,"Request exceeds maximum CDBG per unit.","OK, Request below maximum per unit."))</f>
        <v>Enter Data Above</v>
      </c>
      <c r="D63" s="175"/>
      <c r="E63" s="175"/>
      <c r="F63" s="175"/>
      <c r="G63" s="176"/>
      <c r="H63" s="62" t="s">
        <v>418</v>
      </c>
      <c r="I63" s="62" t="s">
        <v>419</v>
      </c>
    </row>
    <row r="64" spans="2:26" ht="6" customHeight="1" x14ac:dyDescent="0.25">
      <c r="B64" s="83"/>
      <c r="D64" s="131"/>
      <c r="E64" s="131"/>
      <c r="F64" s="131"/>
      <c r="G64" s="131"/>
      <c r="Y64" s="59"/>
      <c r="Z64" s="16"/>
    </row>
    <row r="65" spans="2:26" ht="14.45" customHeight="1" thickBot="1" x14ac:dyDescent="0.3">
      <c r="B65" s="172" t="s">
        <v>345</v>
      </c>
      <c r="C65" s="173"/>
      <c r="D65" s="131"/>
      <c r="E65" s="131"/>
      <c r="F65" s="131"/>
      <c r="G65" s="131"/>
      <c r="Y65" s="59"/>
      <c r="Z65" s="16"/>
    </row>
    <row r="66" spans="2:26" ht="15.75" thickBot="1" x14ac:dyDescent="0.3">
      <c r="B66" s="83" t="s">
        <v>317</v>
      </c>
      <c r="C66" s="159">
        <f>275000*C16</f>
        <v>0</v>
      </c>
      <c r="D66" s="167" t="s">
        <v>342</v>
      </c>
      <c r="E66" s="167"/>
      <c r="F66" s="167"/>
      <c r="G66" s="167"/>
      <c r="Y66" s="59"/>
      <c r="Z66" s="16"/>
    </row>
    <row r="67" spans="2:26" ht="15.75" thickBot="1" x14ac:dyDescent="0.3">
      <c r="B67" s="83" t="s">
        <v>338</v>
      </c>
      <c r="C67" s="129" t="str">
        <f>IF(C66=0,"",ROUND('BASIC INPUT'!C66/'BASIC INPUT'!C16,0))</f>
        <v/>
      </c>
      <c r="D67" s="166"/>
      <c r="E67" s="167"/>
      <c r="F67" s="167"/>
      <c r="G67" s="167"/>
      <c r="Y67" s="59"/>
      <c r="Z67" s="16"/>
    </row>
    <row r="68" spans="2:26" ht="45.95" customHeight="1" thickBot="1" x14ac:dyDescent="0.3">
      <c r="B68" s="128" t="s">
        <v>240</v>
      </c>
      <c r="C68" s="160">
        <v>0</v>
      </c>
      <c r="D68" s="167" t="s">
        <v>343</v>
      </c>
      <c r="E68" s="167"/>
      <c r="F68" s="167"/>
      <c r="G68" s="167"/>
      <c r="Y68" s="59"/>
      <c r="Z68" s="16"/>
    </row>
    <row r="69" spans="2:26" ht="32.450000000000003" customHeight="1" x14ac:dyDescent="0.25">
      <c r="B69" s="128" t="s">
        <v>241</v>
      </c>
      <c r="C69" s="130">
        <f>'BASIC INPUT'!C114</f>
        <v>0</v>
      </c>
      <c r="D69" s="165" t="str">
        <f>CONCATENATE("The supportable First Mortgage based on your inputs and the required terms in this NOFA is ",TEXT(C69,"$0,0"),".")</f>
        <v>The supportable First Mortgage based on your inputs and the required terms in this NOFA is $00.</v>
      </c>
      <c r="E69" s="165"/>
      <c r="F69" s="165"/>
      <c r="G69" s="165"/>
    </row>
    <row r="70" spans="2:26" ht="45" customHeight="1" x14ac:dyDescent="0.25">
      <c r="B70" s="128" t="s">
        <v>242</v>
      </c>
      <c r="C70" s="120">
        <f>C66-C68-C69</f>
        <v>0</v>
      </c>
      <c r="D70" s="165" t="str">
        <f>CONCATENATE("Based on your projected TDC of ",TEXT(C66,"$0,0"), " and your proposed Other Sources of ",TEXT(C68,"$0,0")," and the supportable First Mortgage loan of ",TEXT(C69,"$0,0"),", your CDBG request is ",TEXT(C70,"$0,0"),".")</f>
        <v>Based on your projected TDC of $00 and your proposed Other Sources of $00 and the supportable First Mortgage loan of $00, your CDBG request is $00.</v>
      </c>
      <c r="E70" s="165"/>
      <c r="F70" s="165"/>
      <c r="G70" s="165"/>
    </row>
    <row r="71" spans="2:26" x14ac:dyDescent="0.25">
      <c r="B71" s="83" t="s">
        <v>339</v>
      </c>
      <c r="C71" s="85" t="str">
        <f>IF(C25=0,"",ROUND('BASIC INPUT'!C70/'BASIC INPUT'!C16,0))</f>
        <v/>
      </c>
      <c r="D71" s="76"/>
    </row>
    <row r="72" spans="2:26" ht="6" customHeight="1" x14ac:dyDescent="0.25">
      <c r="B72" s="83"/>
      <c r="C72" s="85"/>
      <c r="D72" s="76"/>
    </row>
    <row r="73" spans="2:26" x14ac:dyDescent="0.25">
      <c r="B73" s="172" t="s">
        <v>344</v>
      </c>
      <c r="C73" s="173"/>
      <c r="D73" s="76"/>
    </row>
    <row r="74" spans="2:26" ht="27.95" customHeight="1" x14ac:dyDescent="0.25">
      <c r="B74" s="128" t="s">
        <v>322</v>
      </c>
      <c r="C74" s="133">
        <f>SUMPRODUCT(D11:D15,C36:C40)</f>
        <v>0</v>
      </c>
      <c r="D74" s="165"/>
      <c r="E74" s="165"/>
      <c r="F74" s="165"/>
      <c r="G74" s="165"/>
    </row>
    <row r="75" spans="2:26" x14ac:dyDescent="0.25">
      <c r="B75" s="83" t="s">
        <v>323</v>
      </c>
      <c r="C75" s="56">
        <f>SUMPRODUCT(E11:E15,D36:D40)</f>
        <v>0</v>
      </c>
      <c r="D75" s="165"/>
      <c r="E75" s="165"/>
      <c r="F75" s="165"/>
      <c r="G75" s="165"/>
    </row>
    <row r="76" spans="2:26" x14ac:dyDescent="0.25">
      <c r="B76" s="83" t="s">
        <v>324</v>
      </c>
      <c r="C76" s="56">
        <f>SUMPRODUCT(F11:F15,E36:E40)</f>
        <v>0</v>
      </c>
      <c r="D76" s="165"/>
      <c r="E76" s="165"/>
      <c r="F76" s="165"/>
      <c r="G76" s="165"/>
    </row>
    <row r="77" spans="2:26" x14ac:dyDescent="0.25">
      <c r="B77" s="83" t="s">
        <v>325</v>
      </c>
      <c r="C77" s="56">
        <f>SUMPRODUCT(G11:G15,F36:F40)</f>
        <v>0</v>
      </c>
      <c r="D77" s="165"/>
      <c r="E77" s="165"/>
      <c r="F77" s="165"/>
      <c r="G77" s="165"/>
    </row>
    <row r="78" spans="2:26" x14ac:dyDescent="0.25">
      <c r="B78" s="83" t="s">
        <v>440</v>
      </c>
      <c r="C78" s="57">
        <f>SUMPRODUCT(C20:C24,G36:G40)</f>
        <v>0</v>
      </c>
      <c r="D78" s="165" t="s">
        <v>352</v>
      </c>
      <c r="E78" s="165"/>
      <c r="F78" s="165"/>
      <c r="G78" s="165"/>
      <c r="H78" s="104"/>
    </row>
    <row r="79" spans="2:26" x14ac:dyDescent="0.25">
      <c r="B79" s="83" t="s">
        <v>147</v>
      </c>
      <c r="C79" s="57">
        <f>SUMPRODUCT(D20:D24,H20:H24)</f>
        <v>0</v>
      </c>
      <c r="D79" s="165" t="s">
        <v>353</v>
      </c>
      <c r="E79" s="165"/>
      <c r="F79" s="165"/>
      <c r="G79" s="165"/>
      <c r="H79" s="104"/>
    </row>
    <row r="80" spans="2:26" x14ac:dyDescent="0.25">
      <c r="B80" s="83" t="s">
        <v>146</v>
      </c>
      <c r="C80" s="57">
        <f>SUM(C78:C79)</f>
        <v>0</v>
      </c>
      <c r="D80" s="165" t="s">
        <v>354</v>
      </c>
      <c r="E80" s="165"/>
      <c r="F80" s="165"/>
      <c r="G80" s="165"/>
      <c r="H80" s="104"/>
    </row>
    <row r="81" spans="2:16" x14ac:dyDescent="0.25">
      <c r="B81" s="83" t="s">
        <v>351</v>
      </c>
      <c r="C81" s="57">
        <f>SUMPRODUCT(C11:C15,H20:H24)</f>
        <v>0</v>
      </c>
      <c r="D81" s="165" t="s">
        <v>355</v>
      </c>
      <c r="E81" s="165"/>
      <c r="F81" s="165"/>
      <c r="G81" s="165"/>
      <c r="H81" s="104"/>
    </row>
    <row r="82" spans="2:16" x14ac:dyDescent="0.25">
      <c r="B82" s="83" t="s">
        <v>148</v>
      </c>
      <c r="C82" s="57">
        <f>C81-C80</f>
        <v>0</v>
      </c>
      <c r="D82" s="165" t="s">
        <v>356</v>
      </c>
      <c r="E82" s="165"/>
      <c r="F82" s="165"/>
      <c r="G82" s="165"/>
      <c r="H82" s="104"/>
    </row>
    <row r="83" spans="2:16" ht="6" customHeight="1" x14ac:dyDescent="0.25">
      <c r="B83" s="83"/>
    </row>
    <row r="84" spans="2:16" x14ac:dyDescent="0.25">
      <c r="B84" s="83" t="s">
        <v>149</v>
      </c>
      <c r="C84" s="57">
        <f>C82*20*12</f>
        <v>0</v>
      </c>
      <c r="D84" s="165" t="s">
        <v>357</v>
      </c>
      <c r="E84" s="165"/>
      <c r="F84" s="165"/>
      <c r="G84" s="165"/>
      <c r="H84" s="104"/>
      <c r="M84" s="17"/>
      <c r="N84" s="17"/>
      <c r="O84" s="17"/>
      <c r="P84" s="17"/>
    </row>
    <row r="85" spans="2:16" ht="29.45" customHeight="1" x14ac:dyDescent="0.25">
      <c r="B85" s="80" t="s">
        <v>442</v>
      </c>
      <c r="C85" s="127" t="e">
        <f>NPV(C155,PROFORMA!C8:V8)</f>
        <v>#VALUE!</v>
      </c>
      <c r="D85" s="166" t="s">
        <v>358</v>
      </c>
      <c r="E85" s="167"/>
      <c r="F85" s="167"/>
      <c r="G85" s="167"/>
      <c r="H85" s="104"/>
      <c r="I85" s="84"/>
      <c r="M85" s="17"/>
      <c r="N85" s="17"/>
      <c r="O85" s="17"/>
      <c r="P85" s="17"/>
    </row>
    <row r="86" spans="2:16" ht="6" customHeight="1" x14ac:dyDescent="0.25">
      <c r="B86" s="83"/>
    </row>
    <row r="87" spans="2:16" x14ac:dyDescent="0.25">
      <c r="B87" s="83" t="s">
        <v>206</v>
      </c>
      <c r="C87" s="14" t="s">
        <v>145</v>
      </c>
      <c r="D87" s="14" t="s">
        <v>211</v>
      </c>
    </row>
    <row r="88" spans="2:16" ht="14.45" customHeight="1" x14ac:dyDescent="0.25">
      <c r="B88" s="83" t="s">
        <v>207</v>
      </c>
      <c r="C88" s="158">
        <v>0</v>
      </c>
      <c r="D88" s="56" t="str">
        <f>IF(C88=0,"",C88/$C$16)</f>
        <v/>
      </c>
      <c r="E88" s="164" t="s">
        <v>359</v>
      </c>
      <c r="F88" s="165"/>
      <c r="G88" s="165"/>
    </row>
    <row r="89" spans="2:16" x14ac:dyDescent="0.25">
      <c r="B89" s="83" t="s">
        <v>208</v>
      </c>
      <c r="C89" s="158">
        <v>0</v>
      </c>
      <c r="D89" s="56" t="str">
        <f t="shared" ref="D89:D91" si="7">IF(C89=0,"",C89/$C$16)</f>
        <v/>
      </c>
      <c r="E89" s="168"/>
      <c r="F89" s="169"/>
      <c r="G89" s="169"/>
    </row>
    <row r="90" spans="2:16" x14ac:dyDescent="0.25">
      <c r="B90" s="83" t="s">
        <v>209</v>
      </c>
      <c r="C90" s="158">
        <v>0</v>
      </c>
      <c r="D90" s="56" t="str">
        <f t="shared" si="7"/>
        <v/>
      </c>
      <c r="E90" s="168"/>
      <c r="F90" s="169"/>
      <c r="G90" s="169"/>
    </row>
    <row r="91" spans="2:16" x14ac:dyDescent="0.25">
      <c r="B91" s="83" t="s">
        <v>210</v>
      </c>
      <c r="C91" s="158">
        <v>0</v>
      </c>
      <c r="D91" s="56" t="str">
        <f t="shared" si="7"/>
        <v/>
      </c>
      <c r="E91" s="168"/>
      <c r="F91" s="169"/>
      <c r="G91" s="169"/>
    </row>
    <row r="92" spans="2:16" x14ac:dyDescent="0.25">
      <c r="B92" s="83" t="s">
        <v>145</v>
      </c>
      <c r="C92" s="77">
        <f>SUM(C88:C91)</f>
        <v>0</v>
      </c>
      <c r="D92" s="56" t="str">
        <f>IF(C92=0,"",C92/$C$16)</f>
        <v/>
      </c>
      <c r="E92" s="170"/>
      <c r="F92" s="171"/>
      <c r="G92" s="171"/>
    </row>
    <row r="93" spans="2:16" ht="6" customHeight="1" x14ac:dyDescent="0.25">
      <c r="B93" s="83"/>
    </row>
    <row r="94" spans="2:16" ht="30" customHeight="1" x14ac:dyDescent="0.25">
      <c r="B94" s="118" t="s">
        <v>292</v>
      </c>
      <c r="C94" s="161">
        <v>0</v>
      </c>
      <c r="D94" s="168" t="s">
        <v>360</v>
      </c>
      <c r="E94" s="169"/>
      <c r="F94" s="169"/>
      <c r="G94" s="169"/>
    </row>
    <row r="95" spans="2:16" x14ac:dyDescent="0.25">
      <c r="B95" s="83" t="s">
        <v>363</v>
      </c>
      <c r="C95" s="56">
        <f>D95*C16</f>
        <v>0</v>
      </c>
      <c r="D95" s="158">
        <v>0</v>
      </c>
      <c r="E95" s="168" t="s">
        <v>364</v>
      </c>
      <c r="F95" s="169"/>
      <c r="G95" s="169"/>
    </row>
    <row r="96" spans="2:16" ht="6" customHeight="1" x14ac:dyDescent="0.25">
      <c r="B96" s="83"/>
      <c r="D96" s="105"/>
      <c r="E96" s="105"/>
      <c r="F96" s="105"/>
      <c r="G96" s="105"/>
      <c r="H96" s="105"/>
    </row>
    <row r="97" spans="2:13" x14ac:dyDescent="0.25">
      <c r="B97" s="83" t="s">
        <v>212</v>
      </c>
      <c r="C97" s="79">
        <v>2.5000000000000001E-2</v>
      </c>
      <c r="D97" s="164" t="s">
        <v>365</v>
      </c>
      <c r="E97" s="165"/>
      <c r="F97" s="165"/>
      <c r="G97" s="165"/>
      <c r="H97" s="105"/>
    </row>
    <row r="98" spans="2:13" x14ac:dyDescent="0.25">
      <c r="B98" s="83" t="s">
        <v>213</v>
      </c>
      <c r="C98" s="79">
        <v>0.03</v>
      </c>
      <c r="D98" s="168"/>
      <c r="E98" s="169"/>
      <c r="F98" s="169"/>
      <c r="G98" s="169"/>
    </row>
    <row r="99" spans="2:13" x14ac:dyDescent="0.25">
      <c r="B99" s="83" t="s">
        <v>441</v>
      </c>
      <c r="C99" s="79" t="str">
        <f>IF(OR(C78=0,C79=0),"Need Data",((C78/C80)*C97)+(C79/C80)*C98)</f>
        <v>Need Data</v>
      </c>
      <c r="D99" s="168"/>
      <c r="E99" s="169"/>
      <c r="F99" s="169"/>
      <c r="G99" s="169"/>
    </row>
    <row r="100" spans="2:13" x14ac:dyDescent="0.25">
      <c r="B100" s="83" t="s">
        <v>216</v>
      </c>
      <c r="C100" s="79">
        <v>3.2500000000000001E-2</v>
      </c>
      <c r="D100" s="170"/>
      <c r="E100" s="171"/>
      <c r="F100" s="171"/>
      <c r="G100" s="171"/>
    </row>
    <row r="101" spans="2:13" ht="6" customHeight="1" x14ac:dyDescent="0.25">
      <c r="B101" s="83"/>
    </row>
    <row r="102" spans="2:13" ht="30" x14ac:dyDescent="0.25">
      <c r="B102" s="117" t="s">
        <v>238</v>
      </c>
      <c r="C102" s="162">
        <v>0</v>
      </c>
      <c r="D102" s="166" t="s">
        <v>432</v>
      </c>
      <c r="E102" s="167"/>
      <c r="F102" s="167"/>
      <c r="G102" s="167"/>
    </row>
    <row r="103" spans="2:13" ht="30" customHeight="1" x14ac:dyDescent="0.25">
      <c r="B103" s="117" t="s">
        <v>219</v>
      </c>
      <c r="C103" s="163">
        <v>0</v>
      </c>
      <c r="D103" s="166" t="e">
        <f>IF(AND(C164&gt;0,C103&lt;&gt;0%),"Interest rate selected results in projected unrepayable amount at Maturity.","Interest Rate Proposed is OK.")</f>
        <v>#NUM!</v>
      </c>
      <c r="E103" s="167"/>
      <c r="F103" s="167"/>
      <c r="G103" s="167"/>
      <c r="H103" s="62" t="s">
        <v>430</v>
      </c>
      <c r="I103" s="62" t="s">
        <v>431</v>
      </c>
    </row>
    <row r="104" spans="2:13" ht="30" customHeight="1" x14ac:dyDescent="0.25">
      <c r="B104" s="117" t="s">
        <v>220</v>
      </c>
      <c r="C104" s="162">
        <v>0</v>
      </c>
      <c r="D104" s="166" t="str">
        <f>IF(C104&lt;25%,"See NOFA §6.1.3, Percentage must be =&gt;25%.","Percentage meets requirements at NOFA §6.1.3.")</f>
        <v>See NOFA §6.1.3, Percentage must be =&gt;25%.</v>
      </c>
      <c r="E104" s="167"/>
      <c r="F104" s="167"/>
      <c r="G104" s="167"/>
      <c r="H104" s="62" t="s">
        <v>434</v>
      </c>
      <c r="I104" s="62" t="s">
        <v>433</v>
      </c>
    </row>
    <row r="105" spans="2:13" ht="45" x14ac:dyDescent="0.25">
      <c r="B105" s="117" t="s">
        <v>266</v>
      </c>
      <c r="C105" s="162">
        <v>0</v>
      </c>
      <c r="D105" s="166" t="str">
        <f>IF(C105&lt;50%,"See NOFA §6.1.3, Percentage must be =&gt;50%.","Percentage meets requirements at NOFA §6.1.3.")</f>
        <v>See NOFA §6.1.3, Percentage must be =&gt;50%.</v>
      </c>
      <c r="E105" s="167"/>
      <c r="F105" s="167"/>
      <c r="G105" s="167"/>
      <c r="H105" s="62" t="s">
        <v>435</v>
      </c>
      <c r="I105" s="62" t="s">
        <v>433</v>
      </c>
      <c r="J105" s="78"/>
      <c r="K105" s="67"/>
      <c r="M105">
        <f>K105*L105</f>
        <v>0</v>
      </c>
    </row>
    <row r="106" spans="2:13" ht="6" customHeight="1" x14ac:dyDescent="0.25">
      <c r="B106" s="83"/>
    </row>
    <row r="107" spans="2:13" x14ac:dyDescent="0.25">
      <c r="B107" s="172" t="s">
        <v>230</v>
      </c>
      <c r="C107" s="173"/>
    </row>
    <row r="108" spans="2:13" x14ac:dyDescent="0.25">
      <c r="B108" s="117" t="s">
        <v>223</v>
      </c>
      <c r="C108" s="121">
        <v>7.0000000000000007E-2</v>
      </c>
      <c r="D108" s="164" t="s">
        <v>366</v>
      </c>
      <c r="E108" s="165"/>
      <c r="F108" s="165"/>
      <c r="G108" s="165"/>
    </row>
    <row r="109" spans="2:13" x14ac:dyDescent="0.25">
      <c r="B109" s="117" t="s">
        <v>367</v>
      </c>
      <c r="C109" s="106">
        <v>10</v>
      </c>
      <c r="D109" s="168"/>
      <c r="E109" s="169"/>
      <c r="F109" s="169"/>
      <c r="G109" s="169"/>
    </row>
    <row r="110" spans="2:13" x14ac:dyDescent="0.25">
      <c r="B110" s="117" t="s">
        <v>368</v>
      </c>
      <c r="C110" s="106">
        <v>30</v>
      </c>
      <c r="D110" s="168"/>
      <c r="E110" s="169"/>
      <c r="F110" s="169"/>
      <c r="G110" s="169"/>
    </row>
    <row r="111" spans="2:13" x14ac:dyDescent="0.25">
      <c r="B111" s="117" t="s">
        <v>225</v>
      </c>
      <c r="C111" s="106">
        <v>1.2</v>
      </c>
      <c r="D111" s="168"/>
      <c r="E111" s="169"/>
      <c r="F111" s="169"/>
      <c r="G111" s="169"/>
    </row>
    <row r="112" spans="2:13" x14ac:dyDescent="0.25">
      <c r="B112" s="117" t="s">
        <v>231</v>
      </c>
      <c r="C112" s="85">
        <f>PROFORMA!C23</f>
        <v>0</v>
      </c>
      <c r="D112" s="168"/>
      <c r="E112" s="169"/>
      <c r="F112" s="169"/>
      <c r="G112" s="169"/>
    </row>
    <row r="113" spans="2:7" x14ac:dyDescent="0.25">
      <c r="B113" s="117" t="s">
        <v>336</v>
      </c>
      <c r="C113" s="120">
        <f>ROUND(C112/C111/12,0)</f>
        <v>0</v>
      </c>
      <c r="D113" s="168"/>
      <c r="E113" s="169"/>
      <c r="F113" s="169"/>
      <c r="G113" s="169"/>
    </row>
    <row r="114" spans="2:7" x14ac:dyDescent="0.25">
      <c r="B114" s="117" t="s">
        <v>228</v>
      </c>
      <c r="C114" s="85">
        <f>ROUND(-PV(C108/12,C110*12,C113,0,0),-1)</f>
        <v>0</v>
      </c>
      <c r="D114" s="170"/>
      <c r="E114" s="171"/>
      <c r="F114" s="171"/>
      <c r="G114" s="171"/>
    </row>
    <row r="115" spans="2:7" ht="6" customHeight="1" x14ac:dyDescent="0.25">
      <c r="B115" s="83"/>
    </row>
    <row r="116" spans="2:7" x14ac:dyDescent="0.25">
      <c r="B116" s="172" t="s">
        <v>221</v>
      </c>
      <c r="C116" s="173"/>
    </row>
    <row r="117" spans="2:7" ht="29.1" customHeight="1" x14ac:dyDescent="0.25">
      <c r="B117" s="117" t="s">
        <v>222</v>
      </c>
      <c r="C117" s="122">
        <v>10</v>
      </c>
      <c r="D117" s="164" t="s">
        <v>375</v>
      </c>
      <c r="E117" s="165"/>
      <c r="F117" s="165"/>
      <c r="G117" s="165"/>
    </row>
    <row r="118" spans="2:7" x14ac:dyDescent="0.25">
      <c r="B118" s="117" t="s">
        <v>223</v>
      </c>
      <c r="C118" s="123">
        <v>7.0000000000000007E-2</v>
      </c>
      <c r="D118" s="168"/>
      <c r="E118" s="169"/>
      <c r="F118" s="169"/>
      <c r="G118" s="169"/>
    </row>
    <row r="119" spans="2:7" x14ac:dyDescent="0.25">
      <c r="B119" s="117" t="s">
        <v>367</v>
      </c>
      <c r="C119" s="106">
        <v>10</v>
      </c>
      <c r="D119" s="168"/>
      <c r="E119" s="169"/>
      <c r="F119" s="169"/>
      <c r="G119" s="169"/>
    </row>
    <row r="120" spans="2:7" x14ac:dyDescent="0.25">
      <c r="B120" s="117" t="s">
        <v>369</v>
      </c>
      <c r="C120" s="122">
        <v>30</v>
      </c>
      <c r="D120" s="168"/>
      <c r="E120" s="169"/>
      <c r="F120" s="169"/>
      <c r="G120" s="169"/>
    </row>
    <row r="121" spans="2:7" x14ac:dyDescent="0.25">
      <c r="B121" s="117" t="s">
        <v>225</v>
      </c>
      <c r="C121" s="122">
        <v>1.2</v>
      </c>
      <c r="D121" s="168"/>
      <c r="E121" s="169"/>
      <c r="F121" s="169"/>
      <c r="G121" s="169"/>
    </row>
    <row r="122" spans="2:7" x14ac:dyDescent="0.25">
      <c r="B122" s="117" t="s">
        <v>226</v>
      </c>
      <c r="C122" s="120">
        <f>PROFORMA!L23</f>
        <v>0</v>
      </c>
      <c r="D122" s="168"/>
      <c r="E122" s="169"/>
      <c r="F122" s="169"/>
      <c r="G122" s="169"/>
    </row>
    <row r="123" spans="2:7" x14ac:dyDescent="0.25">
      <c r="B123" s="117" t="s">
        <v>227</v>
      </c>
      <c r="C123" s="120">
        <f>ROUND(C122/C121/12,0)</f>
        <v>0</v>
      </c>
      <c r="D123" s="168"/>
      <c r="E123" s="169"/>
      <c r="F123" s="169"/>
      <c r="G123" s="169"/>
    </row>
    <row r="124" spans="2:7" x14ac:dyDescent="0.25">
      <c r="B124" s="117" t="s">
        <v>228</v>
      </c>
      <c r="C124" s="120">
        <f>ROUND(-PV(C118/12,C120*12,C123,0,0),-1)</f>
        <v>0</v>
      </c>
      <c r="D124" s="170"/>
      <c r="E124" s="171"/>
      <c r="F124" s="171"/>
      <c r="G124" s="171"/>
    </row>
    <row r="125" spans="2:7" x14ac:dyDescent="0.25">
      <c r="B125" s="117" t="s">
        <v>224</v>
      </c>
      <c r="C125" s="124">
        <f>-400000</f>
        <v>-400000</v>
      </c>
      <c r="D125" s="164" t="s">
        <v>370</v>
      </c>
      <c r="E125" s="165"/>
      <c r="F125" s="165"/>
      <c r="G125" s="165"/>
    </row>
    <row r="126" spans="2:7" ht="30" x14ac:dyDescent="0.25">
      <c r="B126" s="117" t="s">
        <v>229</v>
      </c>
      <c r="C126" s="120">
        <v>10000</v>
      </c>
      <c r="D126" s="168" t="s">
        <v>371</v>
      </c>
      <c r="E126" s="169"/>
      <c r="F126" s="169"/>
      <c r="G126" s="169"/>
    </row>
    <row r="127" spans="2:7" ht="45" x14ac:dyDescent="0.25">
      <c r="B127" s="117" t="s">
        <v>337</v>
      </c>
      <c r="C127" s="124">
        <f>-C126*'BASIC INPUT'!C16</f>
        <v>0</v>
      </c>
      <c r="D127" s="168"/>
      <c r="E127" s="169"/>
      <c r="F127" s="169"/>
      <c r="G127" s="169"/>
    </row>
    <row r="128" spans="2:7" ht="30" x14ac:dyDescent="0.25">
      <c r="B128" s="117" t="s">
        <v>232</v>
      </c>
      <c r="C128" s="124" t="e">
        <f>-'BASIC INPUT'!C114-CUMPRINC('BASIC INPUT'!C108/12,('BASIC INPUT'!C110*12),'BASIC INPUT'!C114,1,(12*10),0)</f>
        <v>#NUM!</v>
      </c>
      <c r="D128" s="164" t="s">
        <v>436</v>
      </c>
      <c r="E128" s="165"/>
      <c r="F128" s="165"/>
      <c r="G128" s="165"/>
    </row>
    <row r="129" spans="2:7" x14ac:dyDescent="0.25">
      <c r="B129" s="117" t="s">
        <v>233</v>
      </c>
      <c r="C129" s="120" t="e">
        <f>C124+C125+C127+C128</f>
        <v>#NUM!</v>
      </c>
      <c r="D129" s="164" t="s">
        <v>372</v>
      </c>
      <c r="E129" s="165"/>
      <c r="F129" s="165"/>
      <c r="G129" s="165"/>
    </row>
    <row r="130" spans="2:7" ht="30" x14ac:dyDescent="0.25">
      <c r="B130" s="117" t="s">
        <v>234</v>
      </c>
      <c r="C130" s="123">
        <f>'BASIC INPUT'!C104</f>
        <v>0</v>
      </c>
      <c r="D130" s="164" t="s">
        <v>373</v>
      </c>
      <c r="E130" s="165"/>
      <c r="F130" s="165"/>
      <c r="G130" s="165"/>
    </row>
    <row r="131" spans="2:7" ht="30" x14ac:dyDescent="0.25">
      <c r="B131" s="117" t="s">
        <v>235</v>
      </c>
      <c r="C131" s="123">
        <f>1-C130</f>
        <v>1</v>
      </c>
      <c r="D131" s="164" t="s">
        <v>374</v>
      </c>
      <c r="E131" s="165"/>
      <c r="F131" s="165"/>
      <c r="G131" s="165"/>
    </row>
    <row r="132" spans="2:7" x14ac:dyDescent="0.25">
      <c r="B132" s="117" t="s">
        <v>236</v>
      </c>
      <c r="C132" s="120" t="e">
        <f>ROUND(C129*C130,0)</f>
        <v>#NUM!</v>
      </c>
    </row>
    <row r="133" spans="2:7" x14ac:dyDescent="0.25">
      <c r="B133" s="117" t="s">
        <v>237</v>
      </c>
      <c r="C133" s="120" t="e">
        <f>C129-C132</f>
        <v>#NUM!</v>
      </c>
    </row>
    <row r="134" spans="2:7" ht="6" customHeight="1" x14ac:dyDescent="0.25">
      <c r="B134" s="83"/>
      <c r="F134" s="80"/>
      <c r="G134" s="82"/>
    </row>
    <row r="135" spans="2:7" x14ac:dyDescent="0.25">
      <c r="B135" s="172" t="s">
        <v>243</v>
      </c>
      <c r="C135" s="173"/>
      <c r="F135" s="80"/>
      <c r="G135" s="82"/>
    </row>
    <row r="136" spans="2:7" x14ac:dyDescent="0.25">
      <c r="B136" s="117" t="s">
        <v>244</v>
      </c>
      <c r="C136" s="122">
        <v>20</v>
      </c>
      <c r="D136" s="164" t="s">
        <v>376</v>
      </c>
      <c r="E136" s="165"/>
      <c r="F136" s="165"/>
      <c r="G136" s="165"/>
    </row>
    <row r="137" spans="2:7" x14ac:dyDescent="0.25">
      <c r="B137" s="117" t="s">
        <v>245</v>
      </c>
      <c r="C137" s="123">
        <v>0.05</v>
      </c>
      <c r="D137" s="168"/>
      <c r="E137" s="169"/>
      <c r="F137" s="169"/>
      <c r="G137" s="169"/>
    </row>
    <row r="138" spans="2:7" ht="29.45" customHeight="1" x14ac:dyDescent="0.25">
      <c r="B138" s="117" t="s">
        <v>247</v>
      </c>
      <c r="C138" s="120">
        <f>PROFORMA!V6</f>
        <v>0</v>
      </c>
      <c r="D138" s="164" t="s">
        <v>377</v>
      </c>
      <c r="E138" s="165"/>
      <c r="F138" s="165"/>
      <c r="G138" s="165"/>
    </row>
    <row r="139" spans="2:7" x14ac:dyDescent="0.25">
      <c r="B139" s="117" t="s">
        <v>193</v>
      </c>
      <c r="C139" s="120">
        <f>-ROUND(C138*7%,0)</f>
        <v>0</v>
      </c>
      <c r="D139" s="168"/>
      <c r="E139" s="169"/>
      <c r="F139" s="169"/>
      <c r="G139" s="169"/>
    </row>
    <row r="140" spans="2:7" x14ac:dyDescent="0.25">
      <c r="B140" s="117" t="s">
        <v>204</v>
      </c>
      <c r="C140" s="120">
        <f>PROFORMA!V14</f>
        <v>0</v>
      </c>
      <c r="D140" s="168"/>
      <c r="E140" s="169"/>
      <c r="F140" s="169"/>
      <c r="G140" s="169"/>
    </row>
    <row r="141" spans="2:7" x14ac:dyDescent="0.25">
      <c r="B141" s="117" t="s">
        <v>248</v>
      </c>
      <c r="C141" s="120">
        <f>SUM(C138:C140)</f>
        <v>0</v>
      </c>
      <c r="D141" s="168"/>
      <c r="E141" s="169"/>
      <c r="F141" s="169"/>
      <c r="G141" s="169"/>
    </row>
    <row r="142" spans="2:7" x14ac:dyDescent="0.25">
      <c r="B142" s="117" t="s">
        <v>249</v>
      </c>
      <c r="C142" s="120">
        <f>-PROFORMA!V23</f>
        <v>0</v>
      </c>
      <c r="D142" s="168"/>
      <c r="E142" s="169"/>
      <c r="F142" s="169"/>
      <c r="G142" s="169"/>
    </row>
    <row r="143" spans="2:7" x14ac:dyDescent="0.25">
      <c r="B143" s="117" t="s">
        <v>246</v>
      </c>
      <c r="C143" s="120">
        <f>C141+C142</f>
        <v>0</v>
      </c>
      <c r="D143" s="170"/>
      <c r="E143" s="171"/>
      <c r="F143" s="171"/>
      <c r="G143" s="171"/>
    </row>
    <row r="144" spans="2:7" x14ac:dyDescent="0.25">
      <c r="B144" s="117" t="s">
        <v>250</v>
      </c>
      <c r="C144" s="120">
        <f>ROUND(C143/C137,-3)</f>
        <v>0</v>
      </c>
      <c r="D144" s="164" t="s">
        <v>380</v>
      </c>
      <c r="E144" s="165"/>
      <c r="F144" s="165"/>
      <c r="G144" s="165"/>
    </row>
    <row r="145" spans="2:7" x14ac:dyDescent="0.25">
      <c r="B145" s="117" t="s">
        <v>251</v>
      </c>
      <c r="C145" s="124" t="e">
        <f>ROUND(-'BASIC INPUT'!C124-CUMPRINC('BASIC INPUT'!C118/12,'BASIC INPUT'!C120*12,'BASIC INPUT'!C124,1,(10*12),0),0)</f>
        <v>#NUM!</v>
      </c>
      <c r="D145" s="168"/>
      <c r="E145" s="169"/>
      <c r="F145" s="169"/>
      <c r="G145" s="169"/>
    </row>
    <row r="146" spans="2:7" x14ac:dyDescent="0.25">
      <c r="B146" s="117" t="s">
        <v>252</v>
      </c>
      <c r="C146" s="124">
        <f>-400000</f>
        <v>-400000</v>
      </c>
      <c r="D146" s="168"/>
      <c r="E146" s="169"/>
      <c r="F146" s="169"/>
      <c r="G146" s="169"/>
    </row>
    <row r="147" spans="2:7" x14ac:dyDescent="0.25">
      <c r="B147" s="117" t="s">
        <v>253</v>
      </c>
      <c r="C147" s="120" t="e">
        <f>C144+C145+C146</f>
        <v>#NUM!</v>
      </c>
      <c r="D147" s="168"/>
      <c r="E147" s="169"/>
      <c r="F147" s="169"/>
      <c r="G147" s="169"/>
    </row>
    <row r="148" spans="2:7" ht="30" x14ac:dyDescent="0.25">
      <c r="B148" s="117" t="s">
        <v>254</v>
      </c>
      <c r="C148" s="123">
        <f>'BASIC INPUT'!C105</f>
        <v>0</v>
      </c>
      <c r="D148" s="164" t="s">
        <v>379</v>
      </c>
      <c r="E148" s="165"/>
      <c r="F148" s="165"/>
      <c r="G148" s="165"/>
    </row>
    <row r="149" spans="2:7" ht="29.1" customHeight="1" x14ac:dyDescent="0.25">
      <c r="B149" s="117" t="str">
        <f>CONCATENATE(TEXT(C148,"0%")," of Net Proceeds")</f>
        <v>0% of Net Proceeds</v>
      </c>
      <c r="C149" s="120" t="e">
        <f>C147*C148</f>
        <v>#NUM!</v>
      </c>
      <c r="D149" s="164" t="str">
        <f>CONCATENATE("This is the corresponding amount of the commitment to pay ",B149," on the CDBG Note.")</f>
        <v>This is the corresponding amount of the commitment to pay 0% of Net Proceeds on the CDBG Note.</v>
      </c>
      <c r="E149" s="165"/>
      <c r="F149" s="165"/>
      <c r="G149" s="165"/>
    </row>
    <row r="150" spans="2:7" ht="29.1" customHeight="1" x14ac:dyDescent="0.25">
      <c r="B150" s="117" t="s">
        <v>382</v>
      </c>
      <c r="C150" s="120" t="e">
        <f>PROFORMA!V31+PROFORMA!V32</f>
        <v>#NUM!</v>
      </c>
      <c r="D150" s="134"/>
      <c r="E150" s="132"/>
      <c r="F150" s="132"/>
      <c r="G150" s="132"/>
    </row>
    <row r="151" spans="2:7" ht="46.5" customHeight="1" x14ac:dyDescent="0.25">
      <c r="B151" s="117" t="s">
        <v>255</v>
      </c>
      <c r="C151" s="120" t="e">
        <f>MIN((C147*C148),(PROFORMA!V31+PROFORMA!V32))</f>
        <v>#NUM!</v>
      </c>
      <c r="D151" s="164" t="s">
        <v>381</v>
      </c>
      <c r="E151" s="165"/>
      <c r="F151" s="165"/>
      <c r="G151" s="165"/>
    </row>
    <row r="152" spans="2:7" ht="30" x14ac:dyDescent="0.25">
      <c r="B152" s="117" t="s">
        <v>378</v>
      </c>
      <c r="C152" s="120" t="e">
        <f>C147-C151</f>
        <v>#NUM!</v>
      </c>
      <c r="F152" s="80"/>
      <c r="G152" s="82"/>
    </row>
    <row r="153" spans="2:7" ht="6" customHeight="1" x14ac:dyDescent="0.25">
      <c r="B153" s="83"/>
      <c r="F153" s="80"/>
      <c r="G153" s="82"/>
    </row>
    <row r="154" spans="2:7" x14ac:dyDescent="0.25">
      <c r="B154" s="172" t="s">
        <v>263</v>
      </c>
      <c r="C154" s="173"/>
      <c r="F154" s="80"/>
      <c r="G154" s="82"/>
    </row>
    <row r="155" spans="2:7" x14ac:dyDescent="0.25">
      <c r="B155" s="117" t="s">
        <v>258</v>
      </c>
      <c r="C155" s="86">
        <v>0.03</v>
      </c>
      <c r="D155" s="164" t="s">
        <v>383</v>
      </c>
      <c r="E155" s="165"/>
      <c r="F155" s="165"/>
      <c r="G155" s="165"/>
    </row>
    <row r="156" spans="2:7" ht="30" x14ac:dyDescent="0.25">
      <c r="B156" s="117" t="s">
        <v>265</v>
      </c>
      <c r="C156" s="87" t="e">
        <f>'CDBG Repmt NPV'!C33</f>
        <v>#NUM!</v>
      </c>
      <c r="D156" s="164" t="s">
        <v>384</v>
      </c>
      <c r="E156" s="165"/>
      <c r="F156" s="165"/>
      <c r="G156" s="165"/>
    </row>
    <row r="157" spans="2:7" ht="30" x14ac:dyDescent="0.25">
      <c r="B157" s="117" t="s">
        <v>259</v>
      </c>
      <c r="C157" s="56" t="e">
        <f>'CDBG Repmt NPV'!C38</f>
        <v>#NUM!</v>
      </c>
      <c r="D157" s="164" t="s">
        <v>385</v>
      </c>
      <c r="E157" s="165"/>
      <c r="F157" s="165"/>
      <c r="G157" s="165"/>
    </row>
    <row r="158" spans="2:7" x14ac:dyDescent="0.25">
      <c r="B158" s="117" t="s">
        <v>260</v>
      </c>
      <c r="C158" s="56">
        <f>'BASIC INPUT'!C70</f>
        <v>0</v>
      </c>
      <c r="D158" s="164" t="s">
        <v>386</v>
      </c>
      <c r="E158" s="165"/>
      <c r="F158" s="165"/>
      <c r="G158" s="165"/>
    </row>
    <row r="159" spans="2:7" ht="14.45" customHeight="1" x14ac:dyDescent="0.25">
      <c r="B159" s="117" t="s">
        <v>261</v>
      </c>
      <c r="C159" s="77" t="e">
        <f>C158-C157</f>
        <v>#NUM!</v>
      </c>
      <c r="D159" s="164" t="s">
        <v>387</v>
      </c>
      <c r="E159" s="165"/>
      <c r="F159" s="165"/>
      <c r="G159" s="165"/>
    </row>
    <row r="160" spans="2:7" ht="30.95" customHeight="1" x14ac:dyDescent="0.25">
      <c r="B160" s="117" t="s">
        <v>262</v>
      </c>
      <c r="C160" s="127" t="e">
        <f>C85</f>
        <v>#VALUE!</v>
      </c>
      <c r="D160" s="164" t="s">
        <v>443</v>
      </c>
      <c r="E160" s="165"/>
      <c r="F160" s="165"/>
      <c r="G160" s="165"/>
    </row>
    <row r="161" spans="2:7" x14ac:dyDescent="0.25">
      <c r="B161" s="117" t="s">
        <v>334</v>
      </c>
      <c r="C161" s="126" t="e">
        <f>C159-C160</f>
        <v>#NUM!</v>
      </c>
      <c r="D161" s="164" t="s">
        <v>388</v>
      </c>
      <c r="E161" s="165"/>
      <c r="F161" s="165"/>
      <c r="G161" s="165"/>
    </row>
    <row r="162" spans="2:7" x14ac:dyDescent="0.25">
      <c r="B162" s="117" t="s">
        <v>335</v>
      </c>
      <c r="C162" s="126" t="e">
        <f>ROUND(C161/C16,0)</f>
        <v>#NUM!</v>
      </c>
      <c r="D162" s="60"/>
      <c r="E162" s="58"/>
      <c r="G162" s="58"/>
    </row>
    <row r="163" spans="2:7" x14ac:dyDescent="0.25">
      <c r="B163" s="117" t="s">
        <v>263</v>
      </c>
      <c r="C163" s="154" t="e">
        <f>1-C162/'BASIC INPUT'!C71</f>
        <v>#NUM!</v>
      </c>
      <c r="D163" s="164" t="s">
        <v>437</v>
      </c>
      <c r="E163" s="165"/>
      <c r="F163" s="165"/>
      <c r="G163" s="165"/>
    </row>
    <row r="164" spans="2:7" ht="30" x14ac:dyDescent="0.25">
      <c r="B164" s="117" t="s">
        <v>318</v>
      </c>
      <c r="C164" s="127" t="e">
        <f>IF((PROFORMA!V36)&lt;0,"None",(PROFORMA!V36))</f>
        <v>#NUM!</v>
      </c>
      <c r="D164" s="164" t="e">
        <f>IF(C164&gt;0,CONCATENATE("Note the projected ",TEXT(C164,"$0,0")," of unrepayable CDBG and consider a lower interest rate if &gt;0%."))</f>
        <v>#NUM!</v>
      </c>
      <c r="E164" s="165"/>
      <c r="F164" s="165"/>
      <c r="G164" s="165"/>
    </row>
  </sheetData>
  <mergeCells count="72">
    <mergeCell ref="H8:H10"/>
    <mergeCell ref="C57:G57"/>
    <mergeCell ref="C59:G59"/>
    <mergeCell ref="D9:E9"/>
    <mergeCell ref="D8:G8"/>
    <mergeCell ref="F9:F10"/>
    <mergeCell ref="G9:G10"/>
    <mergeCell ref="C56:G56"/>
    <mergeCell ref="C58:G58"/>
    <mergeCell ref="C4:D4"/>
    <mergeCell ref="D49:G49"/>
    <mergeCell ref="C54:G54"/>
    <mergeCell ref="D82:G82"/>
    <mergeCell ref="D84:G84"/>
    <mergeCell ref="D75:G75"/>
    <mergeCell ref="D78:G78"/>
    <mergeCell ref="D79:G79"/>
    <mergeCell ref="D80:G80"/>
    <mergeCell ref="D81:G81"/>
    <mergeCell ref="D52:G52"/>
    <mergeCell ref="D50:G50"/>
    <mergeCell ref="D51:G51"/>
    <mergeCell ref="D66:G67"/>
    <mergeCell ref="D74:G74"/>
    <mergeCell ref="C55:G55"/>
    <mergeCell ref="B135:C135"/>
    <mergeCell ref="B154:C154"/>
    <mergeCell ref="B107:C107"/>
    <mergeCell ref="B116:C116"/>
    <mergeCell ref="C60:G60"/>
    <mergeCell ref="C61:G61"/>
    <mergeCell ref="C62:G62"/>
    <mergeCell ref="C63:G63"/>
    <mergeCell ref="D85:G85"/>
    <mergeCell ref="E88:G92"/>
    <mergeCell ref="B73:C73"/>
    <mergeCell ref="B65:C65"/>
    <mergeCell ref="D68:G68"/>
    <mergeCell ref="D69:G69"/>
    <mergeCell ref="D70:G70"/>
    <mergeCell ref="D131:G131"/>
    <mergeCell ref="D108:G114"/>
    <mergeCell ref="D125:G125"/>
    <mergeCell ref="D117:G124"/>
    <mergeCell ref="D94:G94"/>
    <mergeCell ref="E95:G95"/>
    <mergeCell ref="D97:G100"/>
    <mergeCell ref="D148:G148"/>
    <mergeCell ref="D76:G76"/>
    <mergeCell ref="D77:G77"/>
    <mergeCell ref="D151:G151"/>
    <mergeCell ref="D149:G149"/>
    <mergeCell ref="D105:G105"/>
    <mergeCell ref="D102:G102"/>
    <mergeCell ref="D103:G103"/>
    <mergeCell ref="D104:G104"/>
    <mergeCell ref="D144:G147"/>
    <mergeCell ref="D136:G137"/>
    <mergeCell ref="D138:G143"/>
    <mergeCell ref="D126:G127"/>
    <mergeCell ref="D128:G128"/>
    <mergeCell ref="D129:G129"/>
    <mergeCell ref="D130:G130"/>
    <mergeCell ref="D160:G160"/>
    <mergeCell ref="D161:G161"/>
    <mergeCell ref="D163:G163"/>
    <mergeCell ref="D164:G164"/>
    <mergeCell ref="D155:G155"/>
    <mergeCell ref="D156:G156"/>
    <mergeCell ref="D157:G157"/>
    <mergeCell ref="D158:G158"/>
    <mergeCell ref="D159:G159"/>
  </mergeCells>
  <conditionalFormatting sqref="D17">
    <cfRule type="expression" dxfId="40" priority="45">
      <formula>$D$17&gt;=2%</formula>
    </cfRule>
    <cfRule type="cellIs" dxfId="39" priority="47" operator="lessThan">
      <formula>0.02</formula>
    </cfRule>
  </conditionalFormatting>
  <dataValidations count="1">
    <dataValidation type="decimal" allowBlank="1" showInputMessage="1" showErrorMessage="1" sqref="C102 C104:C105" xr:uid="{E2FF3E47-9581-4A8B-A565-FEC578426DAB}">
      <formula1>0</formula1>
      <formula2>1</formula2>
    </dataValidation>
  </dataValidations>
  <pageMargins left="0.7" right="0.7" top="0.75" bottom="0.75" header="0.3" footer="0.3"/>
  <pageSetup scale="70" orientation="landscape" r:id="rId1"/>
  <headerFooter>
    <oddFooter>&amp;L&amp;F
&amp;A&amp;C&amp;D&amp;RPage &amp;P of &amp;N</oddFooter>
  </headerFooter>
  <rowBreaks count="7" manualBreakCount="7">
    <brk id="26" max="7" man="1"/>
    <brk id="53" max="7" man="1"/>
    <brk id="64" max="7" man="1"/>
    <brk id="72" max="7" man="1"/>
    <brk id="106" max="7" man="1"/>
    <brk id="134" max="7" man="1"/>
    <brk id="15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id="{4F830CE0-1DF4-45FF-85FD-B2B67A8E1E67}">
            <xm:f>NOT(ISERROR(SEARCH($I$55,C55)))</xm:f>
            <xm:f>$I$55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" operator="containsText" id="{8609672B-C712-466F-B5D8-B8726AD9E707}">
            <xm:f>NOT(ISERROR(SEARCH($H$55,C55)))</xm:f>
            <xm:f>$H$55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C55:G55</xm:sqref>
        </x14:conditionalFormatting>
        <x14:conditionalFormatting xmlns:xm="http://schemas.microsoft.com/office/excel/2006/main">
          <x14:cfRule type="containsText" priority="50" operator="containsText" id="{4F9A874E-989C-428B-9214-E13B81D59910}">
            <xm:f>NOT(ISERROR(SEARCH($I$56,C56)))</xm:f>
            <xm:f>$I$56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" operator="containsText" id="{2A391BF2-94AE-4B8B-8DA9-10978F21D295}">
            <xm:f>NOT(ISERROR(SEARCH($H$56,C56)))</xm:f>
            <xm:f>$H$56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C56:G56</xm:sqref>
        </x14:conditionalFormatting>
        <x14:conditionalFormatting xmlns:xm="http://schemas.microsoft.com/office/excel/2006/main">
          <x14:cfRule type="containsText" priority="11" operator="containsText" id="{F5601D7E-76D0-4A81-A6F1-589C3EBD40D7}">
            <xm:f>NOT(ISERROR(SEARCH($I$57,C57)))</xm:f>
            <xm:f>$I$57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" operator="containsText" id="{7B5D5FEF-88C7-4562-9689-A6D14D294342}">
            <xm:f>NOT(ISERROR(SEARCH($H$57,C57)))</xm:f>
            <xm:f>$H$57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" operator="containsText" id="{0CCA0172-0114-46A9-8D97-3604AD8E9B3A}">
            <xm:f>NOT(ISERROR(SEARCH($I$55,C57)))</xm:f>
            <xm:f>$I$55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" operator="containsText" id="{B42B090C-A0BE-4ED4-8D9A-4AE68C551C4B}">
            <xm:f>NOT(ISERROR(SEARCH($H$55,C57)))</xm:f>
            <xm:f>$H$55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C57:G57</xm:sqref>
        </x14:conditionalFormatting>
        <x14:conditionalFormatting xmlns:xm="http://schemas.microsoft.com/office/excel/2006/main">
          <x14:cfRule type="containsText" priority="39" operator="containsText" id="{1648369D-05DE-4AA2-AE6E-B191E80DD9CA}">
            <xm:f>NOT(ISERROR(SEARCH($I$58,C58)))</xm:f>
            <xm:f>$I$58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" operator="containsText" id="{2084FA1E-4DC9-460D-BF98-600F448D81B3}">
            <xm:f>NOT(ISERROR(SEARCH($H$58,C58)))</xm:f>
            <xm:f>$H$58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C58:G58</xm:sqref>
        </x14:conditionalFormatting>
        <x14:conditionalFormatting xmlns:xm="http://schemas.microsoft.com/office/excel/2006/main">
          <x14:cfRule type="containsText" priority="9" operator="containsText" id="{DDA01585-436D-4B15-A5FF-D5B507B199A0}">
            <xm:f>NOT(ISERROR(SEARCH($I$59,C59)))</xm:f>
            <xm:f>$I$59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" operator="containsText" id="{C2EFEB9A-097F-4F12-897F-0B4E56D1C55F}">
            <xm:f>NOT(ISERROR(SEARCH($H$59,C59)))</xm:f>
            <xm:f>$H$59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" operator="containsText" id="{D6537C70-8EF9-417E-B436-4402B92A6C09}">
            <xm:f>NOT(ISERROR(SEARCH($I$55,C59)))</xm:f>
            <xm:f>$I$55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" operator="containsText" id="{85A7FC6A-F224-4F5E-A34D-8D85EA99898D}">
            <xm:f>NOT(ISERROR(SEARCH($H$55,C59)))</xm:f>
            <xm:f>$H$55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C59:G59</xm:sqref>
        </x14:conditionalFormatting>
        <x14:conditionalFormatting xmlns:xm="http://schemas.microsoft.com/office/excel/2006/main">
          <x14:cfRule type="containsText" priority="23" operator="containsText" id="{4C12B277-0CE3-4374-AED8-F3685BED82EA}">
            <xm:f>NOT(ISERROR(SEARCH($I$60,C60)))</xm:f>
            <xm:f>$I$60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" operator="containsText" id="{BDBB563C-B3E0-4209-91C5-6347A2302729}">
            <xm:f>NOT(ISERROR(SEARCH($H$60,C60)))</xm:f>
            <xm:f>$H$60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" operator="containsText" id="{1197EAD4-899A-4BB3-819A-1BBA362C99CB}">
            <xm:f>NOT(ISERROR(SEARCH($I$58,C60)))</xm:f>
            <xm:f>$I$58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" operator="containsText" id="{16F41441-234D-4B7F-85FC-2CCB55B879FA}">
            <xm:f>NOT(ISERROR(SEARCH($H$58,C60)))</xm:f>
            <xm:f>$H$58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C60:G63</xm:sqref>
        </x14:conditionalFormatting>
        <x14:conditionalFormatting xmlns:xm="http://schemas.microsoft.com/office/excel/2006/main">
          <x14:cfRule type="containsText" priority="21" operator="containsText" id="{8184F934-2DD8-42B7-83E6-D0437986FFC0}">
            <xm:f>NOT(ISERROR(SEARCH($I$61,C61)))</xm:f>
            <xm:f>$I$61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" operator="containsText" id="{28AB01E7-6027-4F47-9FA6-45D8689D2238}">
            <xm:f>NOT(ISERROR(SEARCH($H$61,C61)))</xm:f>
            <xm:f>$H$61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C61:G63</xm:sqref>
        </x14:conditionalFormatting>
        <x14:conditionalFormatting xmlns:xm="http://schemas.microsoft.com/office/excel/2006/main">
          <x14:cfRule type="containsText" priority="19" operator="containsText" id="{4D6F3D81-0581-4672-8484-F45CDE155315}">
            <xm:f>NOT(ISERROR(SEARCH($I$62,C62)))</xm:f>
            <xm:f>$I$62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" operator="containsText" id="{A619047D-BA0F-42AA-A8EB-2CECD720B8C1}">
            <xm:f>NOT(ISERROR(SEARCH($H$62,C62)))</xm:f>
            <xm:f>$H$62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C62:G63</xm:sqref>
        </x14:conditionalFormatting>
        <x14:conditionalFormatting xmlns:xm="http://schemas.microsoft.com/office/excel/2006/main">
          <x14:cfRule type="containsText" priority="17" operator="containsText" id="{44124F36-9321-4083-9B41-319F0EFCC99C}">
            <xm:f>NOT(ISERROR(SEARCH($I$63,C63)))</xm:f>
            <xm:f>$I$63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" operator="containsText" id="{7E28D11A-655F-4AC3-A368-2A5D7BB457F4}">
            <xm:f>NOT(ISERROR(SEARCH($H$63,C63)))</xm:f>
            <xm:f>$H$63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C63:G63</xm:sqref>
        </x14:conditionalFormatting>
        <x14:conditionalFormatting xmlns:xm="http://schemas.microsoft.com/office/excel/2006/main">
          <x14:cfRule type="containsText" priority="7" operator="containsText" id="{2E503523-95AB-4EBB-92A2-06540202C0EC}">
            <xm:f>NOT(ISERROR(SEARCH($I$103,D103)))</xm:f>
            <xm:f>$I$103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" operator="containsText" id="{F75012EB-3B9F-4884-98AC-5D5856F449DD}">
            <xm:f>NOT(ISERROR(SEARCH($H$103,D103)))</xm:f>
            <xm:f>$H$103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D103:G103</xm:sqref>
        </x14:conditionalFormatting>
        <x14:conditionalFormatting xmlns:xm="http://schemas.microsoft.com/office/excel/2006/main">
          <x14:cfRule type="containsText" priority="3" operator="containsText" id="{A91A82AA-7D39-4C90-9D77-531D3AD49FEC}">
            <xm:f>NOT(ISERROR(SEARCH($I$104,D104)))</xm:f>
            <xm:f>$I$104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operator="containsText" id="{2A9E6D63-8FC5-4EF7-A78D-F4939B685AEC}">
            <xm:f>NOT(ISERROR(SEARCH($H$104,D104)))</xm:f>
            <xm:f>$H$104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D104:G105</xm:sqref>
        </x14:conditionalFormatting>
        <x14:conditionalFormatting xmlns:xm="http://schemas.microsoft.com/office/excel/2006/main">
          <x14:cfRule type="containsText" priority="1" operator="containsText" id="{E02D19A0-467B-4799-B212-80CAFFC2BB35}">
            <xm:f>NOT(ISERROR(SEARCH($I$105,D105)))</xm:f>
            <xm:f>$I$105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" operator="containsText" id="{88B15AA8-9E37-4665-8C96-E43A91B10AA0}">
            <xm:f>NOT(ISERROR(SEARCH($H$105,D105)))</xm:f>
            <xm:f>$H$105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D105:G105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289A-11F1-4423-83AA-543138319E25}">
          <x14:formula1>
            <xm:f>'REF AMIS'!$A$5:$A$69</xm:f>
          </x14:formula1>
          <xm:sqref>C5</xm:sqref>
        </x14:dataValidation>
        <x14:dataValidation type="list" allowBlank="1" showInputMessage="1" showErrorMessage="1" xr:uid="{C131DADA-AB87-42D9-B13D-FB96E0C7A67E}">
          <x14:formula1>
            <xm:f>DropDowns!$B$2:$B$18</xm:f>
          </x14:formula1>
          <xm:sqref>C103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E08E-D477-4E60-8167-0E3BE63BC688}">
  <dimension ref="A1:AP47"/>
  <sheetViews>
    <sheetView zoomScaleNormal="100" workbookViewId="0">
      <pane xSplit="5325" topLeftCell="K1" activePane="topRight"/>
      <selection activeCell="A6" sqref="A6:XFD6"/>
      <selection pane="topRight" activeCell="P21" sqref="P21"/>
    </sheetView>
  </sheetViews>
  <sheetFormatPr defaultRowHeight="15" x14ac:dyDescent="0.25"/>
  <cols>
    <col min="1" max="1" width="8.28515625" style="62" customWidth="1"/>
    <col min="2" max="2" width="38.7109375" customWidth="1"/>
    <col min="3" max="3" width="12.42578125" style="17" customWidth="1"/>
    <col min="4" max="42" width="12.28515625" style="17" customWidth="1"/>
  </cols>
  <sheetData>
    <row r="1" spans="1:42" ht="21" x14ac:dyDescent="0.35">
      <c r="B1" s="1" t="str">
        <f>'BASIC INPUT'!$B$1&amp;" -- PRO FORMA"</f>
        <v>Middle Market Loan Program - Laura Delta Ida (MMLP-LDI) - REV for NOFA AMENDMENT #1 -- PRO FORMA</v>
      </c>
      <c r="C1"/>
    </row>
    <row r="2" spans="1:42" ht="21" x14ac:dyDescent="0.35">
      <c r="B2" s="136">
        <f>'BASIC INPUT'!C4</f>
        <v>0</v>
      </c>
      <c r="D2" s="63">
        <f>'BASIC INPUT'!C16</f>
        <v>0</v>
      </c>
      <c r="E2" s="2" t="s">
        <v>152</v>
      </c>
      <c r="H2" s="152"/>
      <c r="I2" s="67"/>
      <c r="J2" s="152"/>
      <c r="K2" s="152"/>
      <c r="L2" s="67"/>
    </row>
    <row r="3" spans="1:42" ht="6" customHeight="1" x14ac:dyDescent="0.25">
      <c r="C3" s="64">
        <v>1</v>
      </c>
      <c r="D3" s="64">
        <f>+C3+1</f>
        <v>2</v>
      </c>
      <c r="E3" s="64">
        <f t="shared" ref="E3:AK3" si="0">+D3+1</f>
        <v>3</v>
      </c>
      <c r="F3" s="64">
        <f t="shared" si="0"/>
        <v>4</v>
      </c>
      <c r="G3" s="64">
        <f t="shared" si="0"/>
        <v>5</v>
      </c>
      <c r="H3" s="64">
        <f t="shared" si="0"/>
        <v>6</v>
      </c>
      <c r="I3" s="64">
        <f t="shared" si="0"/>
        <v>7</v>
      </c>
      <c r="J3" s="64">
        <f t="shared" si="0"/>
        <v>8</v>
      </c>
      <c r="K3" s="64">
        <f t="shared" si="0"/>
        <v>9</v>
      </c>
      <c r="L3" s="64">
        <f t="shared" si="0"/>
        <v>10</v>
      </c>
      <c r="M3" s="64">
        <f t="shared" si="0"/>
        <v>11</v>
      </c>
      <c r="N3" s="64">
        <f t="shared" si="0"/>
        <v>12</v>
      </c>
      <c r="O3" s="64">
        <f t="shared" si="0"/>
        <v>13</v>
      </c>
      <c r="P3" s="64">
        <f t="shared" si="0"/>
        <v>14</v>
      </c>
      <c r="Q3" s="64">
        <f t="shared" si="0"/>
        <v>15</v>
      </c>
      <c r="R3" s="64">
        <f t="shared" si="0"/>
        <v>16</v>
      </c>
      <c r="S3" s="64">
        <f t="shared" si="0"/>
        <v>17</v>
      </c>
      <c r="T3" s="64">
        <f t="shared" si="0"/>
        <v>18</v>
      </c>
      <c r="U3" s="64">
        <f t="shared" si="0"/>
        <v>19</v>
      </c>
      <c r="V3" s="64">
        <f t="shared" si="0"/>
        <v>20</v>
      </c>
      <c r="W3" s="64">
        <f t="shared" si="0"/>
        <v>21</v>
      </c>
      <c r="X3" s="64">
        <f t="shared" si="0"/>
        <v>22</v>
      </c>
      <c r="Y3" s="64">
        <f t="shared" si="0"/>
        <v>23</v>
      </c>
      <c r="Z3" s="64">
        <f t="shared" si="0"/>
        <v>24</v>
      </c>
      <c r="AA3" s="64">
        <f t="shared" si="0"/>
        <v>25</v>
      </c>
      <c r="AB3" s="64">
        <f t="shared" si="0"/>
        <v>26</v>
      </c>
      <c r="AC3" s="64">
        <f t="shared" si="0"/>
        <v>27</v>
      </c>
      <c r="AD3" s="64">
        <f t="shared" si="0"/>
        <v>28</v>
      </c>
      <c r="AE3" s="64">
        <f t="shared" si="0"/>
        <v>29</v>
      </c>
      <c r="AF3" s="64">
        <f t="shared" si="0"/>
        <v>30</v>
      </c>
      <c r="AG3" s="64">
        <f t="shared" si="0"/>
        <v>31</v>
      </c>
      <c r="AH3" s="64">
        <f t="shared" si="0"/>
        <v>32</v>
      </c>
      <c r="AI3" s="64">
        <f t="shared" si="0"/>
        <v>33</v>
      </c>
      <c r="AJ3" s="64">
        <f t="shared" si="0"/>
        <v>34</v>
      </c>
      <c r="AK3" s="64">
        <f t="shared" si="0"/>
        <v>35</v>
      </c>
      <c r="AL3" s="64">
        <f>+AK3+1</f>
        <v>36</v>
      </c>
      <c r="AM3" s="64">
        <f>+AL3+1</f>
        <v>37</v>
      </c>
      <c r="AN3" s="64">
        <f>+AM3+1</f>
        <v>38</v>
      </c>
      <c r="AO3" s="64">
        <f>+AN3+1</f>
        <v>39</v>
      </c>
      <c r="AP3" s="64">
        <f>+AO3+1</f>
        <v>40</v>
      </c>
    </row>
    <row r="4" spans="1:42" x14ac:dyDescent="0.25">
      <c r="A4" s="65">
        <f>ROW(A4)-3</f>
        <v>1</v>
      </c>
      <c r="C4" s="66" t="s">
        <v>153</v>
      </c>
      <c r="D4" s="66" t="s">
        <v>154</v>
      </c>
      <c r="E4" s="66" t="s">
        <v>155</v>
      </c>
      <c r="F4" s="66" t="s">
        <v>156</v>
      </c>
      <c r="G4" s="66" t="s">
        <v>157</v>
      </c>
      <c r="H4" s="66" t="s">
        <v>158</v>
      </c>
      <c r="I4" s="66" t="s">
        <v>159</v>
      </c>
      <c r="J4" s="66" t="s">
        <v>160</v>
      </c>
      <c r="K4" s="66" t="s">
        <v>161</v>
      </c>
      <c r="L4" s="66" t="s">
        <v>162</v>
      </c>
      <c r="M4" s="66" t="s">
        <v>163</v>
      </c>
      <c r="N4" s="66" t="s">
        <v>164</v>
      </c>
      <c r="O4" s="66" t="s">
        <v>165</v>
      </c>
      <c r="P4" s="66" t="s">
        <v>166</v>
      </c>
      <c r="Q4" s="66" t="s">
        <v>167</v>
      </c>
      <c r="R4" s="66" t="s">
        <v>168</v>
      </c>
      <c r="S4" s="66" t="s">
        <v>169</v>
      </c>
      <c r="T4" s="66" t="s">
        <v>170</v>
      </c>
      <c r="U4" s="66" t="s">
        <v>171</v>
      </c>
      <c r="V4" s="66" t="s">
        <v>172</v>
      </c>
      <c r="W4" s="66" t="s">
        <v>173</v>
      </c>
      <c r="X4" s="66" t="s">
        <v>174</v>
      </c>
      <c r="Y4" s="66" t="s">
        <v>175</v>
      </c>
      <c r="Z4" s="66" t="s">
        <v>176</v>
      </c>
      <c r="AA4" s="66" t="s">
        <v>177</v>
      </c>
      <c r="AB4" s="66" t="s">
        <v>178</v>
      </c>
      <c r="AC4" s="66" t="s">
        <v>179</v>
      </c>
      <c r="AD4" s="66" t="s">
        <v>180</v>
      </c>
      <c r="AE4" s="66" t="s">
        <v>181</v>
      </c>
      <c r="AF4" s="66" t="s">
        <v>182</v>
      </c>
      <c r="AG4" s="66" t="s">
        <v>183</v>
      </c>
      <c r="AH4" s="66" t="s">
        <v>184</v>
      </c>
      <c r="AI4" s="66" t="s">
        <v>185</v>
      </c>
      <c r="AJ4" s="66" t="s">
        <v>186</v>
      </c>
      <c r="AK4" s="66" t="s">
        <v>187</v>
      </c>
      <c r="AL4" s="66" t="s">
        <v>188</v>
      </c>
      <c r="AM4" s="66" t="s">
        <v>189</v>
      </c>
      <c r="AN4" s="66" t="s">
        <v>190</v>
      </c>
      <c r="AO4" s="66" t="s">
        <v>191</v>
      </c>
      <c r="AP4" s="66" t="s">
        <v>192</v>
      </c>
    </row>
    <row r="5" spans="1:42" ht="6" customHeight="1" x14ac:dyDescent="0.25">
      <c r="A5" s="65">
        <f t="shared" ref="A5:A47" si="1">ROW(A5)-3</f>
        <v>2</v>
      </c>
    </row>
    <row r="6" spans="1:42" x14ac:dyDescent="0.25">
      <c r="A6" s="65"/>
      <c r="B6" s="137" t="s">
        <v>218</v>
      </c>
      <c r="C6" s="138">
        <f>'BASIC INPUT'!C81*12</f>
        <v>0</v>
      </c>
      <c r="D6" s="138">
        <f>C6*(1+'BASIC INPUT'!$C$98)</f>
        <v>0</v>
      </c>
      <c r="E6" s="138">
        <f>D6*(1+'BASIC INPUT'!$C$98)</f>
        <v>0</v>
      </c>
      <c r="F6" s="138">
        <f>E6*(1+'BASIC INPUT'!$C$98)</f>
        <v>0</v>
      </c>
      <c r="G6" s="138">
        <f>F6*(1+'BASIC INPUT'!$C$98)</f>
        <v>0</v>
      </c>
      <c r="H6" s="138">
        <f>G6*(1+'BASIC INPUT'!$C$98)</f>
        <v>0</v>
      </c>
      <c r="I6" s="138">
        <f>H6*(1+'BASIC INPUT'!$C$98)</f>
        <v>0</v>
      </c>
      <c r="J6" s="138">
        <f>I6*(1+'BASIC INPUT'!$C$98)</f>
        <v>0</v>
      </c>
      <c r="K6" s="138">
        <f>J6*(1+'BASIC INPUT'!$C$98)</f>
        <v>0</v>
      </c>
      <c r="L6" s="138">
        <f>K6*(1+'BASIC INPUT'!$C$98)</f>
        <v>0</v>
      </c>
      <c r="M6" s="138">
        <f>L6*(1+'BASIC INPUT'!$C$98)</f>
        <v>0</v>
      </c>
      <c r="N6" s="138">
        <f>M6*(1+'BASIC INPUT'!$C$98)</f>
        <v>0</v>
      </c>
      <c r="O6" s="138">
        <f>N6*(1+'BASIC INPUT'!$C$98)</f>
        <v>0</v>
      </c>
      <c r="P6" s="138">
        <f>O6*(1+'BASIC INPUT'!$C$98)</f>
        <v>0</v>
      </c>
      <c r="Q6" s="138">
        <f>P6*(1+'BASIC INPUT'!$C$98)</f>
        <v>0</v>
      </c>
      <c r="R6" s="138">
        <f>Q6*(1+'BASIC INPUT'!$C$98)</f>
        <v>0</v>
      </c>
      <c r="S6" s="138">
        <f>R6*(1+'BASIC INPUT'!$C$98)</f>
        <v>0</v>
      </c>
      <c r="T6" s="138">
        <f>S6*(1+'BASIC INPUT'!$C$98)</f>
        <v>0</v>
      </c>
      <c r="U6" s="138">
        <f>T6*(1+'BASIC INPUT'!$C$98)</f>
        <v>0</v>
      </c>
      <c r="V6" s="138">
        <f>U6*(1+'BASIC INPUT'!$C$98)</f>
        <v>0</v>
      </c>
      <c r="W6" s="138">
        <f>V6*(1+'BASIC INPUT'!$C$98)</f>
        <v>0</v>
      </c>
      <c r="X6" s="138">
        <f>W6*(1+'BASIC INPUT'!$C$98)</f>
        <v>0</v>
      </c>
      <c r="Y6" s="138">
        <f>X6*(1+'BASIC INPUT'!$C$98)</f>
        <v>0</v>
      </c>
      <c r="Z6" s="138">
        <f>Y6*(1+'BASIC INPUT'!$C$98)</f>
        <v>0</v>
      </c>
      <c r="AA6" s="138">
        <f>Z6*(1+'BASIC INPUT'!$C$98)</f>
        <v>0</v>
      </c>
      <c r="AB6" s="138">
        <f>AA6*(1+'BASIC INPUT'!$C$98)</f>
        <v>0</v>
      </c>
      <c r="AC6" s="138">
        <f>AB6*(1+'BASIC INPUT'!$C$98)</f>
        <v>0</v>
      </c>
      <c r="AD6" s="138">
        <f>AC6*(1+'BASIC INPUT'!$C$98)</f>
        <v>0</v>
      </c>
      <c r="AE6" s="138">
        <f>AD6*(1+'BASIC INPUT'!$C$98)</f>
        <v>0</v>
      </c>
      <c r="AF6" s="138">
        <f>AE6*(1+'BASIC INPUT'!$C$98)</f>
        <v>0</v>
      </c>
      <c r="AG6" s="138">
        <f>AF6*(1+'BASIC INPUT'!$C$98)</f>
        <v>0</v>
      </c>
      <c r="AH6" s="138">
        <f>AG6*(1+'BASIC INPUT'!$C$98)</f>
        <v>0</v>
      </c>
      <c r="AI6" s="138">
        <f>AH6*(1+'BASIC INPUT'!$C$98)</f>
        <v>0</v>
      </c>
      <c r="AJ6" s="138">
        <f>AI6*(1+'BASIC INPUT'!$C$98)</f>
        <v>0</v>
      </c>
      <c r="AK6" s="138">
        <f>AJ6*(1+'BASIC INPUT'!$C$98)</f>
        <v>0</v>
      </c>
      <c r="AL6" s="138">
        <f>AK6*(1+'BASIC INPUT'!$C$98)</f>
        <v>0</v>
      </c>
      <c r="AM6" s="138">
        <f>AL6*(1+'BASIC INPUT'!$C$98)</f>
        <v>0</v>
      </c>
      <c r="AN6" s="138">
        <f>AM6*(1+'BASIC INPUT'!$C$98)</f>
        <v>0</v>
      </c>
      <c r="AO6" s="138">
        <f>AN6*(1+'BASIC INPUT'!$C$98)</f>
        <v>0</v>
      </c>
      <c r="AP6" s="138">
        <f>AO6*(1+'BASIC INPUT'!$C$98)</f>
        <v>0</v>
      </c>
    </row>
    <row r="7" spans="1:42" x14ac:dyDescent="0.25">
      <c r="A7" s="65"/>
      <c r="B7" s="137" t="s">
        <v>439</v>
      </c>
      <c r="C7" s="138">
        <f>('BASIC INPUT'!C78+'BASIC INPUT'!C79)*12</f>
        <v>0</v>
      </c>
      <c r="D7" s="138" t="e">
        <f>C7*(1+'BASIC INPUT'!$C$99)</f>
        <v>#VALUE!</v>
      </c>
      <c r="E7" s="138" t="e">
        <f>D7*(1+'BASIC INPUT'!$C$99)</f>
        <v>#VALUE!</v>
      </c>
      <c r="F7" s="138" t="e">
        <f>E7*(1+'BASIC INPUT'!$C$99)</f>
        <v>#VALUE!</v>
      </c>
      <c r="G7" s="138" t="e">
        <f>F7*(1+'BASIC INPUT'!$C$99)</f>
        <v>#VALUE!</v>
      </c>
      <c r="H7" s="138" t="e">
        <f>G7*(1+'BASIC INPUT'!$C$99)</f>
        <v>#VALUE!</v>
      </c>
      <c r="I7" s="138" t="e">
        <f>H7*(1+'BASIC INPUT'!$C$99)</f>
        <v>#VALUE!</v>
      </c>
      <c r="J7" s="138" t="e">
        <f>I7*(1+'BASIC INPUT'!$C$99)</f>
        <v>#VALUE!</v>
      </c>
      <c r="K7" s="138" t="e">
        <f>J7*(1+'BASIC INPUT'!$C$99)</f>
        <v>#VALUE!</v>
      </c>
      <c r="L7" s="138" t="e">
        <f>K7*(1+'BASIC INPUT'!$C$99)</f>
        <v>#VALUE!</v>
      </c>
      <c r="M7" s="138" t="e">
        <f>L7*(1+'BASIC INPUT'!$C$99)</f>
        <v>#VALUE!</v>
      </c>
      <c r="N7" s="138" t="e">
        <f>M7*(1+'BASIC INPUT'!$C$99)</f>
        <v>#VALUE!</v>
      </c>
      <c r="O7" s="138" t="e">
        <f>N7*(1+'BASIC INPUT'!$C$99)</f>
        <v>#VALUE!</v>
      </c>
      <c r="P7" s="138" t="e">
        <f>O7*(1+'BASIC INPUT'!$C$99)</f>
        <v>#VALUE!</v>
      </c>
      <c r="Q7" s="138" t="e">
        <f>P7*(1+'BASIC INPUT'!$C$99)</f>
        <v>#VALUE!</v>
      </c>
      <c r="R7" s="138" t="e">
        <f>Q7*(1+'BASIC INPUT'!$C$99)</f>
        <v>#VALUE!</v>
      </c>
      <c r="S7" s="138" t="e">
        <f>R7*(1+'BASIC INPUT'!$C$99)</f>
        <v>#VALUE!</v>
      </c>
      <c r="T7" s="138" t="e">
        <f>S7*(1+'BASIC INPUT'!$C$99)</f>
        <v>#VALUE!</v>
      </c>
      <c r="U7" s="138" t="e">
        <f>T7*(1+'BASIC INPUT'!$C$99)</f>
        <v>#VALUE!</v>
      </c>
      <c r="V7" s="138" t="e">
        <f>U7*(1+'BASIC INPUT'!$C$99)</f>
        <v>#VALUE!</v>
      </c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</row>
    <row r="8" spans="1:42" x14ac:dyDescent="0.25">
      <c r="A8" s="65"/>
      <c r="B8" s="137" t="s">
        <v>262</v>
      </c>
      <c r="C8" s="138">
        <f>C6-C7</f>
        <v>0</v>
      </c>
      <c r="D8" s="138" t="e">
        <f t="shared" ref="D8:V8" si="2">D6-D7</f>
        <v>#VALUE!</v>
      </c>
      <c r="E8" s="138" t="e">
        <f t="shared" si="2"/>
        <v>#VALUE!</v>
      </c>
      <c r="F8" s="138" t="e">
        <f t="shared" si="2"/>
        <v>#VALUE!</v>
      </c>
      <c r="G8" s="138" t="e">
        <f t="shared" si="2"/>
        <v>#VALUE!</v>
      </c>
      <c r="H8" s="138" t="e">
        <f t="shared" si="2"/>
        <v>#VALUE!</v>
      </c>
      <c r="I8" s="138" t="e">
        <f t="shared" si="2"/>
        <v>#VALUE!</v>
      </c>
      <c r="J8" s="138" t="e">
        <f t="shared" si="2"/>
        <v>#VALUE!</v>
      </c>
      <c r="K8" s="138" t="e">
        <f t="shared" si="2"/>
        <v>#VALUE!</v>
      </c>
      <c r="L8" s="138" t="e">
        <f t="shared" si="2"/>
        <v>#VALUE!</v>
      </c>
      <c r="M8" s="138" t="e">
        <f t="shared" si="2"/>
        <v>#VALUE!</v>
      </c>
      <c r="N8" s="138" t="e">
        <f t="shared" si="2"/>
        <v>#VALUE!</v>
      </c>
      <c r="O8" s="138" t="e">
        <f t="shared" si="2"/>
        <v>#VALUE!</v>
      </c>
      <c r="P8" s="138" t="e">
        <f t="shared" si="2"/>
        <v>#VALUE!</v>
      </c>
      <c r="Q8" s="138" t="e">
        <f t="shared" si="2"/>
        <v>#VALUE!</v>
      </c>
      <c r="R8" s="138" t="e">
        <f t="shared" si="2"/>
        <v>#VALUE!</v>
      </c>
      <c r="S8" s="138" t="e">
        <f t="shared" si="2"/>
        <v>#VALUE!</v>
      </c>
      <c r="T8" s="138" t="e">
        <f t="shared" si="2"/>
        <v>#VALUE!</v>
      </c>
      <c r="U8" s="138" t="e">
        <f t="shared" si="2"/>
        <v>#VALUE!</v>
      </c>
      <c r="V8" s="138" t="e">
        <f t="shared" si="2"/>
        <v>#VALUE!</v>
      </c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</row>
    <row r="9" spans="1:42" x14ac:dyDescent="0.25">
      <c r="A9" s="65">
        <f t="shared" si="1"/>
        <v>6</v>
      </c>
      <c r="B9" s="135" t="s">
        <v>214</v>
      </c>
      <c r="C9" s="17">
        <f>'BASIC INPUT'!C78*12</f>
        <v>0</v>
      </c>
      <c r="D9" s="17">
        <f>ROUND(C9*(1+'BASIC INPUT'!$C$97),0)</f>
        <v>0</v>
      </c>
      <c r="E9" s="17">
        <f>ROUND(D9*(1+'BASIC INPUT'!$C$97),0)</f>
        <v>0</v>
      </c>
      <c r="F9" s="17">
        <f>ROUND(E9*(1+'BASIC INPUT'!$C$97),0)</f>
        <v>0</v>
      </c>
      <c r="G9" s="17">
        <f>ROUND(F9*(1+'BASIC INPUT'!$C$97),0)</f>
        <v>0</v>
      </c>
      <c r="H9" s="17">
        <f>ROUND(G9*(1+'BASIC INPUT'!$C$97),0)</f>
        <v>0</v>
      </c>
      <c r="I9" s="17">
        <f>ROUND(H9*(1+'BASIC INPUT'!$C$97),0)</f>
        <v>0</v>
      </c>
      <c r="J9" s="17">
        <f>ROUND(I9*(1+'BASIC INPUT'!$C$97),0)</f>
        <v>0</v>
      </c>
      <c r="K9" s="17">
        <f>ROUND(J9*(1+'BASIC INPUT'!$C$97),0)</f>
        <v>0</v>
      </c>
      <c r="L9" s="17">
        <f>ROUND(K9*(1+'BASIC INPUT'!$C$97),0)</f>
        <v>0</v>
      </c>
      <c r="M9" s="17">
        <f>ROUND(L9*(1+'BASIC INPUT'!$C$97),0)</f>
        <v>0</v>
      </c>
      <c r="N9" s="17">
        <f>ROUND(M9*(1+'BASIC INPUT'!$C$97),0)</f>
        <v>0</v>
      </c>
      <c r="O9" s="17">
        <f>ROUND(N9*(1+'BASIC INPUT'!$C$97),0)</f>
        <v>0</v>
      </c>
      <c r="P9" s="17">
        <f>ROUND(O9*(1+'BASIC INPUT'!$C$97),0)</f>
        <v>0</v>
      </c>
      <c r="Q9" s="17">
        <f>ROUND(P9*(1+'BASIC INPUT'!$C$97),0)</f>
        <v>0</v>
      </c>
      <c r="R9" s="17">
        <f>ROUND(Q9*(1+'BASIC INPUT'!$C$97),0)</f>
        <v>0</v>
      </c>
      <c r="S9" s="17">
        <f>ROUND(R9*(1+'BASIC INPUT'!$C$97),0)</f>
        <v>0</v>
      </c>
      <c r="T9" s="17">
        <f>ROUND(S9*(1+'BASIC INPUT'!$C$97),0)</f>
        <v>0</v>
      </c>
      <c r="U9" s="17">
        <f>ROUND(T9*(1+'BASIC INPUT'!$C$97),0)</f>
        <v>0</v>
      </c>
      <c r="V9" s="17">
        <f>ROUND(U9*(1+'BASIC INPUT'!$C$97),0)</f>
        <v>0</v>
      </c>
      <c r="W9" s="17">
        <v>0</v>
      </c>
      <c r="X9" s="17">
        <f>ROUND(W9*(1+'BASIC INPUT'!$C$97),0)</f>
        <v>0</v>
      </c>
      <c r="Y9" s="17">
        <f>ROUND(X9*(1+'BASIC INPUT'!$C$97),0)</f>
        <v>0</v>
      </c>
      <c r="Z9" s="17">
        <f>ROUND(Y9*(1+'BASIC INPUT'!$C$97),0)</f>
        <v>0</v>
      </c>
      <c r="AA9" s="17">
        <f>ROUND(Z9*(1+'BASIC INPUT'!$C$97),0)</f>
        <v>0</v>
      </c>
      <c r="AB9" s="17">
        <f>ROUND(AA9*(1+'BASIC INPUT'!$C$97),0)</f>
        <v>0</v>
      </c>
      <c r="AC9" s="17">
        <f>ROUND(AB9*(1+'BASIC INPUT'!$C$97),0)</f>
        <v>0</v>
      </c>
      <c r="AD9" s="17">
        <f>ROUND(AC9*(1+'BASIC INPUT'!$C$97),0)</f>
        <v>0</v>
      </c>
      <c r="AE9" s="17">
        <f>ROUND(AD9*(1+'BASIC INPUT'!$C$97),0)</f>
        <v>0</v>
      </c>
      <c r="AF9" s="17">
        <f>ROUND(AE9*(1+'BASIC INPUT'!$C$97),0)</f>
        <v>0</v>
      </c>
      <c r="AG9" s="17">
        <f>ROUND(AF9*(1+'BASIC INPUT'!$C$97),0)</f>
        <v>0</v>
      </c>
      <c r="AH9" s="17">
        <f>ROUND(AG9*(1+'BASIC INPUT'!$C$97),0)</f>
        <v>0</v>
      </c>
      <c r="AI9" s="17">
        <f>ROUND(AH9*(1+'BASIC INPUT'!$C$97),0)</f>
        <v>0</v>
      </c>
      <c r="AJ9" s="17">
        <f>ROUND(AI9*(1+'BASIC INPUT'!$C$97),0)</f>
        <v>0</v>
      </c>
      <c r="AK9" s="17">
        <f>ROUND(AJ9*(1+'BASIC INPUT'!$C$97),0)</f>
        <v>0</v>
      </c>
      <c r="AL9" s="17">
        <f>ROUND(AK9*(1+'BASIC INPUT'!$C$97),0)</f>
        <v>0</v>
      </c>
      <c r="AM9" s="17">
        <f>ROUND(AL9*(1+'BASIC INPUT'!$C$97),0)</f>
        <v>0</v>
      </c>
      <c r="AN9" s="17">
        <f>ROUND(AM9*(1+'BASIC INPUT'!$C$97),0)</f>
        <v>0</v>
      </c>
      <c r="AO9" s="17">
        <f>ROUND(AN9*(1+'BASIC INPUT'!$C$97),0)</f>
        <v>0</v>
      </c>
      <c r="AP9" s="17">
        <f>ROUND(AO9*(1+'BASIC INPUT'!$C$97),0)</f>
        <v>0</v>
      </c>
    </row>
    <row r="10" spans="1:42" x14ac:dyDescent="0.25">
      <c r="A10" s="65"/>
      <c r="B10" s="135" t="s">
        <v>215</v>
      </c>
      <c r="C10" s="17">
        <f>'BASIC INPUT'!C79*12</f>
        <v>0</v>
      </c>
      <c r="D10" s="17">
        <f>ROUND(C10*(1+'BASIC INPUT'!$C$98),0)</f>
        <v>0</v>
      </c>
      <c r="E10" s="17">
        <f>ROUND(D10*(1+'BASIC INPUT'!$C$98),0)</f>
        <v>0</v>
      </c>
      <c r="F10" s="17">
        <f>ROUND(E10*(1+'BASIC INPUT'!$C$98),0)</f>
        <v>0</v>
      </c>
      <c r="G10" s="17">
        <f>ROUND(F10*(1+'BASIC INPUT'!$C$98),0)</f>
        <v>0</v>
      </c>
      <c r="H10" s="17">
        <f>ROUND(G10*(1+'BASIC INPUT'!$C$98),0)</f>
        <v>0</v>
      </c>
      <c r="I10" s="17">
        <f>ROUND(H10*(1+'BASIC INPUT'!$C$98),0)</f>
        <v>0</v>
      </c>
      <c r="J10" s="17">
        <f>ROUND(I10*(1+'BASIC INPUT'!$C$98),0)</f>
        <v>0</v>
      </c>
      <c r="K10" s="17">
        <f>ROUND(J10*(1+'BASIC INPUT'!$C$98),0)</f>
        <v>0</v>
      </c>
      <c r="L10" s="17">
        <f>ROUND(K10*(1+'BASIC INPUT'!$C$98),0)</f>
        <v>0</v>
      </c>
      <c r="M10" s="17">
        <f>ROUND(L10*(1+'BASIC INPUT'!$C$98),0)</f>
        <v>0</v>
      </c>
      <c r="N10" s="17">
        <f>ROUND(M10*(1+'BASIC INPUT'!$C$98),0)</f>
        <v>0</v>
      </c>
      <c r="O10" s="17">
        <f>ROUND(N10*(1+'BASIC INPUT'!$C$98),0)</f>
        <v>0</v>
      </c>
      <c r="P10" s="17">
        <f>ROUND(O10*(1+'BASIC INPUT'!$C$98),0)</f>
        <v>0</v>
      </c>
      <c r="Q10" s="17">
        <f>ROUND(P10*(1+'BASIC INPUT'!$C$98),0)</f>
        <v>0</v>
      </c>
      <c r="R10" s="17">
        <f>ROUND(Q10*(1+'BASIC INPUT'!$C$98),0)</f>
        <v>0</v>
      </c>
      <c r="S10" s="17">
        <f>ROUND(R10*(1+'BASIC INPUT'!$C$98),0)</f>
        <v>0</v>
      </c>
      <c r="T10" s="17">
        <f>ROUND(S10*(1+'BASIC INPUT'!$C$98),0)</f>
        <v>0</v>
      </c>
      <c r="U10" s="17">
        <f>ROUND(T10*(1+'BASIC INPUT'!$C$98),0)</f>
        <v>0</v>
      </c>
      <c r="V10" s="17">
        <f>ROUND(U10*(1+'BASIC INPUT'!$C$98),0)</f>
        <v>0</v>
      </c>
      <c r="W10" s="17">
        <f>W6</f>
        <v>0</v>
      </c>
      <c r="X10" s="17">
        <f>ROUND(W10*(1+'BASIC INPUT'!$C$98),0)</f>
        <v>0</v>
      </c>
      <c r="Y10" s="17">
        <f>ROUND(X10*(1+'BASIC INPUT'!$C$98),0)</f>
        <v>0</v>
      </c>
      <c r="Z10" s="17">
        <f>ROUND(Y10*(1+'BASIC INPUT'!$C$98),0)</f>
        <v>0</v>
      </c>
      <c r="AA10" s="17">
        <f>ROUND(Z10*(1+'BASIC INPUT'!$C$98),0)</f>
        <v>0</v>
      </c>
      <c r="AB10" s="17">
        <f>ROUND(AA10*(1+'BASIC INPUT'!$C$98),0)</f>
        <v>0</v>
      </c>
      <c r="AC10" s="17">
        <f>ROUND(AB10*(1+'BASIC INPUT'!$C$98),0)</f>
        <v>0</v>
      </c>
      <c r="AD10" s="17">
        <f>ROUND(AC10*(1+'BASIC INPUT'!$C$98),0)</f>
        <v>0</v>
      </c>
      <c r="AE10" s="17">
        <f>ROUND(AD10*(1+'BASIC INPUT'!$C$98),0)</f>
        <v>0</v>
      </c>
      <c r="AF10" s="17">
        <f>ROUND(AE10*(1+'BASIC INPUT'!$C$98),0)</f>
        <v>0</v>
      </c>
      <c r="AG10" s="17">
        <f>ROUND(AF10*(1+'BASIC INPUT'!$C$98),0)</f>
        <v>0</v>
      </c>
      <c r="AH10" s="17">
        <f>ROUND(AG10*(1+'BASIC INPUT'!$C$98),0)</f>
        <v>0</v>
      </c>
      <c r="AI10" s="17">
        <f>ROUND(AH10*(1+'BASIC INPUT'!$C$98),0)</f>
        <v>0</v>
      </c>
      <c r="AJ10" s="17">
        <f>ROUND(AI10*(1+'BASIC INPUT'!$C$98),0)</f>
        <v>0</v>
      </c>
      <c r="AK10" s="17">
        <f>ROUND(AJ10*(1+'BASIC INPUT'!$C$98),0)</f>
        <v>0</v>
      </c>
      <c r="AL10" s="17">
        <f>ROUND(AK10*(1+'BASIC INPUT'!$C$98),0)</f>
        <v>0</v>
      </c>
      <c r="AM10" s="17">
        <f>ROUND(AL10*(1+'BASIC INPUT'!$C$98),0)</f>
        <v>0</v>
      </c>
      <c r="AN10" s="17">
        <f>ROUND(AM10*(1+'BASIC INPUT'!$C$98),0)</f>
        <v>0</v>
      </c>
      <c r="AO10" s="17">
        <f>ROUND(AN10*(1+'BASIC INPUT'!$C$98),0)</f>
        <v>0</v>
      </c>
      <c r="AP10" s="17">
        <f>ROUND(AO10*(1+'BASIC INPUT'!$C$98),0)</f>
        <v>0</v>
      </c>
    </row>
    <row r="11" spans="1:42" x14ac:dyDescent="0.25">
      <c r="A11" s="102">
        <v>7.0000000000000007E-2</v>
      </c>
      <c r="B11" s="135" t="s">
        <v>361</v>
      </c>
      <c r="C11" s="17">
        <f>-ROUND((C9+C10)*$A$11,0)</f>
        <v>0</v>
      </c>
      <c r="D11" s="17">
        <f t="shared" ref="D11:AP11" si="3">-ROUND((D9+D10)*$A$11,0)</f>
        <v>0</v>
      </c>
      <c r="E11" s="17">
        <f t="shared" si="3"/>
        <v>0</v>
      </c>
      <c r="F11" s="17">
        <f t="shared" si="3"/>
        <v>0</v>
      </c>
      <c r="G11" s="17">
        <f t="shared" si="3"/>
        <v>0</v>
      </c>
      <c r="H11" s="17">
        <f t="shared" si="3"/>
        <v>0</v>
      </c>
      <c r="I11" s="17">
        <f t="shared" si="3"/>
        <v>0</v>
      </c>
      <c r="J11" s="17">
        <f t="shared" si="3"/>
        <v>0</v>
      </c>
      <c r="K11" s="17">
        <f t="shared" si="3"/>
        <v>0</v>
      </c>
      <c r="L11" s="17">
        <f t="shared" si="3"/>
        <v>0</v>
      </c>
      <c r="M11" s="17">
        <f t="shared" si="3"/>
        <v>0</v>
      </c>
      <c r="N11" s="17">
        <f t="shared" si="3"/>
        <v>0</v>
      </c>
      <c r="O11" s="17">
        <f t="shared" si="3"/>
        <v>0</v>
      </c>
      <c r="P11" s="17">
        <f t="shared" si="3"/>
        <v>0</v>
      </c>
      <c r="Q11" s="17">
        <f t="shared" si="3"/>
        <v>0</v>
      </c>
      <c r="R11" s="17">
        <f t="shared" si="3"/>
        <v>0</v>
      </c>
      <c r="S11" s="17">
        <f t="shared" si="3"/>
        <v>0</v>
      </c>
      <c r="T11" s="17">
        <f t="shared" si="3"/>
        <v>0</v>
      </c>
      <c r="U11" s="17">
        <f t="shared" si="3"/>
        <v>0</v>
      </c>
      <c r="V11" s="17">
        <f t="shared" si="3"/>
        <v>0</v>
      </c>
      <c r="W11" s="17">
        <f t="shared" si="3"/>
        <v>0</v>
      </c>
      <c r="X11" s="17">
        <f t="shared" si="3"/>
        <v>0</v>
      </c>
      <c r="Y11" s="17">
        <f t="shared" si="3"/>
        <v>0</v>
      </c>
      <c r="Z11" s="17">
        <f t="shared" si="3"/>
        <v>0</v>
      </c>
      <c r="AA11" s="17">
        <f t="shared" si="3"/>
        <v>0</v>
      </c>
      <c r="AB11" s="17">
        <f t="shared" si="3"/>
        <v>0</v>
      </c>
      <c r="AC11" s="17">
        <f t="shared" si="3"/>
        <v>0</v>
      </c>
      <c r="AD11" s="17">
        <f t="shared" si="3"/>
        <v>0</v>
      </c>
      <c r="AE11" s="17">
        <f t="shared" si="3"/>
        <v>0</v>
      </c>
      <c r="AF11" s="17">
        <f t="shared" si="3"/>
        <v>0</v>
      </c>
      <c r="AG11" s="17">
        <f t="shared" si="3"/>
        <v>0</v>
      </c>
      <c r="AH11" s="17">
        <f t="shared" si="3"/>
        <v>0</v>
      </c>
      <c r="AI11" s="17">
        <f t="shared" si="3"/>
        <v>0</v>
      </c>
      <c r="AJ11" s="17">
        <f t="shared" si="3"/>
        <v>0</v>
      </c>
      <c r="AK11" s="17">
        <f t="shared" si="3"/>
        <v>0</v>
      </c>
      <c r="AL11" s="17">
        <f t="shared" si="3"/>
        <v>0</v>
      </c>
      <c r="AM11" s="17">
        <f t="shared" si="3"/>
        <v>0</v>
      </c>
      <c r="AN11" s="17">
        <f t="shared" si="3"/>
        <v>0</v>
      </c>
      <c r="AO11" s="17">
        <f t="shared" si="3"/>
        <v>0</v>
      </c>
      <c r="AP11" s="17">
        <f t="shared" si="3"/>
        <v>0</v>
      </c>
    </row>
    <row r="12" spans="1:42" x14ac:dyDescent="0.25">
      <c r="A12" s="65"/>
      <c r="B12" s="135" t="s">
        <v>293</v>
      </c>
      <c r="C12" s="17">
        <f>'BASIC INPUT'!C94</f>
        <v>0</v>
      </c>
      <c r="D12" s="17">
        <f>C12*(1+'BASIC INPUT'!$C$98)</f>
        <v>0</v>
      </c>
      <c r="E12" s="17">
        <f>D12*(1+'BASIC INPUT'!$C$98)</f>
        <v>0</v>
      </c>
      <c r="F12" s="17">
        <f>E12*(1+'BASIC INPUT'!$C$98)</f>
        <v>0</v>
      </c>
      <c r="G12" s="17">
        <f>F12*(1+'BASIC INPUT'!$C$98)</f>
        <v>0</v>
      </c>
      <c r="H12" s="17">
        <f>G12*(1+'BASIC INPUT'!$C$98)</f>
        <v>0</v>
      </c>
      <c r="I12" s="17">
        <f>H12*(1+'BASIC INPUT'!$C$98)</f>
        <v>0</v>
      </c>
      <c r="J12" s="17">
        <f>I12*(1+'BASIC INPUT'!$C$98)</f>
        <v>0</v>
      </c>
      <c r="K12" s="17">
        <f>J12*(1+'BASIC INPUT'!$C$98)</f>
        <v>0</v>
      </c>
      <c r="L12" s="17">
        <f>K12*(1+'BASIC INPUT'!$C$98)</f>
        <v>0</v>
      </c>
      <c r="M12" s="17">
        <f>L12*(1+'BASIC INPUT'!$C$98)</f>
        <v>0</v>
      </c>
      <c r="N12" s="17">
        <f>M12*(1+'BASIC INPUT'!$C$98)</f>
        <v>0</v>
      </c>
      <c r="O12" s="17">
        <f>N12*(1+'BASIC INPUT'!$C$98)</f>
        <v>0</v>
      </c>
      <c r="P12" s="17">
        <f>O12*(1+'BASIC INPUT'!$C$98)</f>
        <v>0</v>
      </c>
      <c r="Q12" s="17">
        <f>P12*(1+'BASIC INPUT'!$C$98)</f>
        <v>0</v>
      </c>
      <c r="R12" s="17">
        <f>Q12*(1+'BASIC INPUT'!$C$98)</f>
        <v>0</v>
      </c>
      <c r="S12" s="17">
        <f>R12*(1+'BASIC INPUT'!$C$98)</f>
        <v>0</v>
      </c>
      <c r="T12" s="17">
        <f>S12*(1+'BASIC INPUT'!$C$98)</f>
        <v>0</v>
      </c>
      <c r="U12" s="17">
        <f>T12*(1+'BASIC INPUT'!$C$98)</f>
        <v>0</v>
      </c>
      <c r="V12" s="17">
        <f>U12*(1+'BASIC INPUT'!$C$98)</f>
        <v>0</v>
      </c>
      <c r="W12" s="17">
        <f>V12*(1+'BASIC INPUT'!$C$98)</f>
        <v>0</v>
      </c>
      <c r="X12" s="17">
        <f>W12*(1+'BASIC INPUT'!$C$98)</f>
        <v>0</v>
      </c>
      <c r="Y12" s="17">
        <f>X12*(1+'BASIC INPUT'!$C$98)</f>
        <v>0</v>
      </c>
      <c r="Z12" s="17">
        <f>Y12*(1+'BASIC INPUT'!$C$98)</f>
        <v>0</v>
      </c>
      <c r="AA12" s="17">
        <f>Z12*(1+'BASIC INPUT'!$C$98)</f>
        <v>0</v>
      </c>
      <c r="AB12" s="17">
        <f>AA12*(1+'BASIC INPUT'!$C$98)</f>
        <v>0</v>
      </c>
      <c r="AC12" s="17">
        <f>AB12*(1+'BASIC INPUT'!$C$98)</f>
        <v>0</v>
      </c>
      <c r="AD12" s="17">
        <f>AC12*(1+'BASIC INPUT'!$C$98)</f>
        <v>0</v>
      </c>
      <c r="AE12" s="17">
        <f>AD12*(1+'BASIC INPUT'!$C$98)</f>
        <v>0</v>
      </c>
      <c r="AF12" s="17">
        <f>AE12*(1+'BASIC INPUT'!$C$98)</f>
        <v>0</v>
      </c>
      <c r="AG12" s="17">
        <f>AF12*(1+'BASIC INPUT'!$C$98)</f>
        <v>0</v>
      </c>
      <c r="AH12" s="17">
        <f>AG12*(1+'BASIC INPUT'!$C$98)</f>
        <v>0</v>
      </c>
      <c r="AI12" s="17">
        <f>AH12*(1+'BASIC INPUT'!$C$98)</f>
        <v>0</v>
      </c>
      <c r="AJ12" s="17">
        <f>AI12*(1+'BASIC INPUT'!$C$98)</f>
        <v>0</v>
      </c>
      <c r="AK12" s="17">
        <f>AJ12*(1+'BASIC INPUT'!$C$98)</f>
        <v>0</v>
      </c>
      <c r="AL12" s="17">
        <f>AK12*(1+'BASIC INPUT'!$C$98)</f>
        <v>0</v>
      </c>
      <c r="AM12" s="17">
        <f>AL12*(1+'BASIC INPUT'!$C$98)</f>
        <v>0</v>
      </c>
      <c r="AN12" s="17">
        <f>AM12*(1+'BASIC INPUT'!$C$98)</f>
        <v>0</v>
      </c>
      <c r="AO12" s="17">
        <f>AN12*(1+'BASIC INPUT'!$C$98)</f>
        <v>0</v>
      </c>
      <c r="AP12" s="17">
        <f>AO12*(1+'BASIC INPUT'!$C$98)</f>
        <v>0</v>
      </c>
    </row>
    <row r="13" spans="1:42" x14ac:dyDescent="0.25">
      <c r="A13" s="102">
        <v>0.1</v>
      </c>
      <c r="B13" s="135" t="s">
        <v>294</v>
      </c>
      <c r="C13" s="17">
        <f>IF(C12&lt;&gt;0,C12*-$A$13,0)</f>
        <v>0</v>
      </c>
      <c r="D13" s="17">
        <f t="shared" ref="D13:AP13" si="4">IF(D12&lt;&gt;0,D12*-$A$13,0)</f>
        <v>0</v>
      </c>
      <c r="E13" s="17">
        <f t="shared" si="4"/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 t="shared" si="4"/>
        <v>0</v>
      </c>
      <c r="M13" s="17">
        <f t="shared" si="4"/>
        <v>0</v>
      </c>
      <c r="N13" s="17">
        <f t="shared" si="4"/>
        <v>0</v>
      </c>
      <c r="O13" s="17">
        <f t="shared" si="4"/>
        <v>0</v>
      </c>
      <c r="P13" s="17">
        <f t="shared" si="4"/>
        <v>0</v>
      </c>
      <c r="Q13" s="17">
        <f t="shared" si="4"/>
        <v>0</v>
      </c>
      <c r="R13" s="17">
        <f t="shared" si="4"/>
        <v>0</v>
      </c>
      <c r="S13" s="17">
        <f t="shared" si="4"/>
        <v>0</v>
      </c>
      <c r="T13" s="17">
        <f t="shared" si="4"/>
        <v>0</v>
      </c>
      <c r="U13" s="17">
        <f t="shared" si="4"/>
        <v>0</v>
      </c>
      <c r="V13" s="17">
        <f t="shared" si="4"/>
        <v>0</v>
      </c>
      <c r="W13" s="17">
        <f t="shared" si="4"/>
        <v>0</v>
      </c>
      <c r="X13" s="17">
        <f t="shared" si="4"/>
        <v>0</v>
      </c>
      <c r="Y13" s="17">
        <f t="shared" si="4"/>
        <v>0</v>
      </c>
      <c r="Z13" s="17">
        <f t="shared" si="4"/>
        <v>0</v>
      </c>
      <c r="AA13" s="17">
        <f t="shared" si="4"/>
        <v>0</v>
      </c>
      <c r="AB13" s="17">
        <f t="shared" si="4"/>
        <v>0</v>
      </c>
      <c r="AC13" s="17">
        <f t="shared" si="4"/>
        <v>0</v>
      </c>
      <c r="AD13" s="17">
        <f t="shared" si="4"/>
        <v>0</v>
      </c>
      <c r="AE13" s="17">
        <f t="shared" si="4"/>
        <v>0</v>
      </c>
      <c r="AF13" s="17">
        <f t="shared" si="4"/>
        <v>0</v>
      </c>
      <c r="AG13" s="17">
        <f t="shared" si="4"/>
        <v>0</v>
      </c>
      <c r="AH13" s="17">
        <f t="shared" si="4"/>
        <v>0</v>
      </c>
      <c r="AI13" s="17">
        <f t="shared" si="4"/>
        <v>0</v>
      </c>
      <c r="AJ13" s="17">
        <f t="shared" si="4"/>
        <v>0</v>
      </c>
      <c r="AK13" s="17">
        <f t="shared" si="4"/>
        <v>0</v>
      </c>
      <c r="AL13" s="17">
        <f t="shared" si="4"/>
        <v>0</v>
      </c>
      <c r="AM13" s="17">
        <f t="shared" si="4"/>
        <v>0</v>
      </c>
      <c r="AN13" s="17">
        <f t="shared" si="4"/>
        <v>0</v>
      </c>
      <c r="AO13" s="17">
        <f t="shared" si="4"/>
        <v>0</v>
      </c>
      <c r="AP13" s="17">
        <f t="shared" si="4"/>
        <v>0</v>
      </c>
    </row>
    <row r="14" spans="1:42" x14ac:dyDescent="0.25">
      <c r="A14" s="102"/>
      <c r="B14" s="135" t="s">
        <v>194</v>
      </c>
      <c r="C14" s="17">
        <f>'BASIC INPUT'!C95</f>
        <v>0</v>
      </c>
      <c r="D14" s="17">
        <f>ROUND(C14*(1+'BASIC INPUT'!$C$100),0)</f>
        <v>0</v>
      </c>
      <c r="E14" s="17">
        <f>ROUND(D14*(1+'BASIC INPUT'!$C$100),0)</f>
        <v>0</v>
      </c>
      <c r="F14" s="17">
        <f>ROUND(E14*(1+'BASIC INPUT'!$C$100),0)</f>
        <v>0</v>
      </c>
      <c r="G14" s="17">
        <f>ROUND(F14*(1+'BASIC INPUT'!$C$100),0)</f>
        <v>0</v>
      </c>
      <c r="H14" s="17">
        <f>ROUND(G14*(1+'BASIC INPUT'!$C$100),0)</f>
        <v>0</v>
      </c>
      <c r="I14" s="17">
        <f>ROUND(H14*(1+'BASIC INPUT'!$C$100),0)</f>
        <v>0</v>
      </c>
      <c r="J14" s="17">
        <f>ROUND(I14*(1+'BASIC INPUT'!$C$100),0)</f>
        <v>0</v>
      </c>
      <c r="K14" s="17">
        <f>ROUND(J14*(1+'BASIC INPUT'!$C$100),0)</f>
        <v>0</v>
      </c>
      <c r="L14" s="17">
        <f>ROUND(K14*(1+'BASIC INPUT'!$C$100),0)</f>
        <v>0</v>
      </c>
      <c r="M14" s="17">
        <f>ROUND(L14*(1+'BASIC INPUT'!$C$100),0)</f>
        <v>0</v>
      </c>
      <c r="N14" s="17">
        <f>ROUND(M14*(1+'BASIC INPUT'!$C$100),0)</f>
        <v>0</v>
      </c>
      <c r="O14" s="17">
        <f>ROUND(N14*(1+'BASIC INPUT'!$C$100),0)</f>
        <v>0</v>
      </c>
      <c r="P14" s="17">
        <f>ROUND(O14*(1+'BASIC INPUT'!$C$100),0)</f>
        <v>0</v>
      </c>
      <c r="Q14" s="17">
        <f>ROUND(P14*(1+'BASIC INPUT'!$C$100),0)</f>
        <v>0</v>
      </c>
      <c r="R14" s="17">
        <f>ROUND(Q14*(1+'BASIC INPUT'!$C$100),0)</f>
        <v>0</v>
      </c>
      <c r="S14" s="17">
        <f>ROUND(R14*(1+'BASIC INPUT'!$C$100),0)</f>
        <v>0</v>
      </c>
      <c r="T14" s="17">
        <f>ROUND(S14*(1+'BASIC INPUT'!$C$100),0)</f>
        <v>0</v>
      </c>
      <c r="U14" s="17">
        <f>ROUND(T14*(1+'BASIC INPUT'!$C$100),0)</f>
        <v>0</v>
      </c>
      <c r="V14" s="17">
        <f>ROUND(U14*(1+'BASIC INPUT'!$C$100),0)</f>
        <v>0</v>
      </c>
      <c r="W14" s="17">
        <f>ROUND(V14*(1+'BASIC INPUT'!$C$100),0)</f>
        <v>0</v>
      </c>
      <c r="X14" s="17">
        <f>ROUND(W14*(1+'BASIC INPUT'!$C$100),0)</f>
        <v>0</v>
      </c>
      <c r="Y14" s="17">
        <f>ROUND(X14*(1+'BASIC INPUT'!$C$100),0)</f>
        <v>0</v>
      </c>
      <c r="Z14" s="17">
        <f>ROUND(Y14*(1+'BASIC INPUT'!$C$100),0)</f>
        <v>0</v>
      </c>
      <c r="AA14" s="17">
        <f>ROUND(Z14*(1+'BASIC INPUT'!$C$100),0)</f>
        <v>0</v>
      </c>
      <c r="AB14" s="17">
        <f>ROUND(AA14*(1+'BASIC INPUT'!$C$100),0)</f>
        <v>0</v>
      </c>
      <c r="AC14" s="17">
        <f>ROUND(AB14*(1+'BASIC INPUT'!$C$100),0)</f>
        <v>0</v>
      </c>
      <c r="AD14" s="17">
        <f>ROUND(AC14*(1+'BASIC INPUT'!$C$100),0)</f>
        <v>0</v>
      </c>
      <c r="AE14" s="17">
        <f>ROUND(AD14*(1+'BASIC INPUT'!$C$100),0)</f>
        <v>0</v>
      </c>
      <c r="AF14" s="17">
        <f>ROUND(AE14*(1+'BASIC INPUT'!$C$100),0)</f>
        <v>0</v>
      </c>
      <c r="AG14" s="17">
        <f>ROUND(AF14*(1+'BASIC INPUT'!$C$100),0)</f>
        <v>0</v>
      </c>
      <c r="AH14" s="17">
        <f>ROUND(AG14*(1+'BASIC INPUT'!$C$100),0)</f>
        <v>0</v>
      </c>
      <c r="AI14" s="17">
        <f>ROUND(AH14*(1+'BASIC INPUT'!$C$100),0)</f>
        <v>0</v>
      </c>
      <c r="AJ14" s="17">
        <f>ROUND(AI14*(1+'BASIC INPUT'!$C$100),0)</f>
        <v>0</v>
      </c>
      <c r="AK14" s="17">
        <f>ROUND(AJ14*(1+'BASIC INPUT'!$C$100),0)</f>
        <v>0</v>
      </c>
      <c r="AL14" s="17">
        <f>ROUND(AK14*(1+'BASIC INPUT'!$C$100),0)</f>
        <v>0</v>
      </c>
      <c r="AM14" s="17">
        <f>ROUND(AL14*(1+'BASIC INPUT'!$C$100),0)</f>
        <v>0</v>
      </c>
      <c r="AN14" s="17">
        <f>ROUND(AM14*(1+'BASIC INPUT'!$C$100),0)</f>
        <v>0</v>
      </c>
      <c r="AO14" s="17">
        <f>ROUND(AN14*(1+'BASIC INPUT'!$C$100),0)</f>
        <v>0</v>
      </c>
      <c r="AP14" s="17">
        <f>ROUND(AO14*(1+'BASIC INPUT'!$C$100),0)</f>
        <v>0</v>
      </c>
    </row>
    <row r="15" spans="1:42" x14ac:dyDescent="0.25">
      <c r="A15" s="65">
        <f t="shared" si="1"/>
        <v>12</v>
      </c>
      <c r="B15" s="68" t="s">
        <v>195</v>
      </c>
      <c r="C15" s="69">
        <f t="shared" ref="C15:AP15" si="5">SUM(C9:C14)</f>
        <v>0</v>
      </c>
      <c r="D15" s="69">
        <f t="shared" si="5"/>
        <v>0</v>
      </c>
      <c r="E15" s="69">
        <f t="shared" si="5"/>
        <v>0</v>
      </c>
      <c r="F15" s="69">
        <f t="shared" si="5"/>
        <v>0</v>
      </c>
      <c r="G15" s="69">
        <f t="shared" si="5"/>
        <v>0</v>
      </c>
      <c r="H15" s="69">
        <f t="shared" si="5"/>
        <v>0</v>
      </c>
      <c r="I15" s="69">
        <f t="shared" si="5"/>
        <v>0</v>
      </c>
      <c r="J15" s="69">
        <f t="shared" si="5"/>
        <v>0</v>
      </c>
      <c r="K15" s="69">
        <f t="shared" si="5"/>
        <v>0</v>
      </c>
      <c r="L15" s="69">
        <f t="shared" si="5"/>
        <v>0</v>
      </c>
      <c r="M15" s="69">
        <f t="shared" si="5"/>
        <v>0</v>
      </c>
      <c r="N15" s="69">
        <f t="shared" si="5"/>
        <v>0</v>
      </c>
      <c r="O15" s="69">
        <f t="shared" si="5"/>
        <v>0</v>
      </c>
      <c r="P15" s="69">
        <f t="shared" si="5"/>
        <v>0</v>
      </c>
      <c r="Q15" s="69">
        <f t="shared" si="5"/>
        <v>0</v>
      </c>
      <c r="R15" s="69">
        <f t="shared" si="5"/>
        <v>0</v>
      </c>
      <c r="S15" s="69">
        <f t="shared" si="5"/>
        <v>0</v>
      </c>
      <c r="T15" s="69">
        <f t="shared" si="5"/>
        <v>0</v>
      </c>
      <c r="U15" s="69">
        <f t="shared" si="5"/>
        <v>0</v>
      </c>
      <c r="V15" s="69">
        <f t="shared" si="5"/>
        <v>0</v>
      </c>
      <c r="W15" s="69">
        <f t="shared" si="5"/>
        <v>0</v>
      </c>
      <c r="X15" s="69">
        <f t="shared" si="5"/>
        <v>0</v>
      </c>
      <c r="Y15" s="69">
        <f t="shared" si="5"/>
        <v>0</v>
      </c>
      <c r="Z15" s="69">
        <f t="shared" si="5"/>
        <v>0</v>
      </c>
      <c r="AA15" s="69">
        <f t="shared" si="5"/>
        <v>0</v>
      </c>
      <c r="AB15" s="69">
        <f t="shared" si="5"/>
        <v>0</v>
      </c>
      <c r="AC15" s="69">
        <f t="shared" si="5"/>
        <v>0</v>
      </c>
      <c r="AD15" s="69">
        <f t="shared" si="5"/>
        <v>0</v>
      </c>
      <c r="AE15" s="69">
        <f t="shared" si="5"/>
        <v>0</v>
      </c>
      <c r="AF15" s="69">
        <f t="shared" si="5"/>
        <v>0</v>
      </c>
      <c r="AG15" s="69">
        <f t="shared" si="5"/>
        <v>0</v>
      </c>
      <c r="AH15" s="69">
        <f t="shared" si="5"/>
        <v>0</v>
      </c>
      <c r="AI15" s="69">
        <f t="shared" si="5"/>
        <v>0</v>
      </c>
      <c r="AJ15" s="69">
        <f t="shared" si="5"/>
        <v>0</v>
      </c>
      <c r="AK15" s="69">
        <f t="shared" si="5"/>
        <v>0</v>
      </c>
      <c r="AL15" s="69">
        <f t="shared" si="5"/>
        <v>0</v>
      </c>
      <c r="AM15" s="69">
        <f t="shared" si="5"/>
        <v>0</v>
      </c>
      <c r="AN15" s="69">
        <f t="shared" si="5"/>
        <v>0</v>
      </c>
      <c r="AO15" s="69">
        <f t="shared" si="5"/>
        <v>0</v>
      </c>
      <c r="AP15" s="69">
        <f t="shared" si="5"/>
        <v>0</v>
      </c>
    </row>
    <row r="16" spans="1:42" ht="6" customHeight="1" x14ac:dyDescent="0.25">
      <c r="A16" s="65">
        <f t="shared" si="1"/>
        <v>13</v>
      </c>
    </row>
    <row r="17" spans="1:42" x14ac:dyDescent="0.25">
      <c r="A17" s="65">
        <f t="shared" si="1"/>
        <v>14</v>
      </c>
      <c r="B17" s="135" t="s">
        <v>205</v>
      </c>
      <c r="C17" s="17">
        <f>'BASIC INPUT'!C88</f>
        <v>0</v>
      </c>
      <c r="D17" s="17">
        <f>ROUND(C17*(1+'BASIC INPUT'!$C$100),0)</f>
        <v>0</v>
      </c>
      <c r="E17" s="17">
        <f>ROUND(D17*(1+'BASIC INPUT'!$C$100),0)</f>
        <v>0</v>
      </c>
      <c r="F17" s="17">
        <f>ROUND(E17*(1+'BASIC INPUT'!$C$100),0)</f>
        <v>0</v>
      </c>
      <c r="G17" s="17">
        <f>ROUND(F17*(1+'BASIC INPUT'!$C$100),0)</f>
        <v>0</v>
      </c>
      <c r="H17" s="17">
        <f>ROUND(G17*(1+'BASIC INPUT'!$C$100),0)</f>
        <v>0</v>
      </c>
      <c r="I17" s="17">
        <f>ROUND(H17*(1+'BASIC INPUT'!$C$100),0)</f>
        <v>0</v>
      </c>
      <c r="J17" s="17">
        <f>ROUND(I17*(1+'BASIC INPUT'!$C$100),0)</f>
        <v>0</v>
      </c>
      <c r="K17" s="17">
        <f>ROUND(J17*(1+'BASIC INPUT'!$C$100),0)</f>
        <v>0</v>
      </c>
      <c r="L17" s="17">
        <f>ROUND(K17*(1+'BASIC INPUT'!$C$100),0)</f>
        <v>0</v>
      </c>
      <c r="M17" s="17">
        <f>ROUND(L17*(1+'BASIC INPUT'!$C$100),0)</f>
        <v>0</v>
      </c>
      <c r="N17" s="17">
        <f>ROUND(M17*(1+'BASIC INPUT'!$C$100),0)</f>
        <v>0</v>
      </c>
      <c r="O17" s="17">
        <f>ROUND(N17*(1+'BASIC INPUT'!$C$100),0)</f>
        <v>0</v>
      </c>
      <c r="P17" s="17">
        <f>ROUND(O17*(1+'BASIC INPUT'!$C$100),0)</f>
        <v>0</v>
      </c>
      <c r="Q17" s="17">
        <f>ROUND(P17*(1+'BASIC INPUT'!$C$100),0)</f>
        <v>0</v>
      </c>
      <c r="R17" s="17">
        <f>ROUND(Q17*(1+'BASIC INPUT'!$C$100),0)</f>
        <v>0</v>
      </c>
      <c r="S17" s="17">
        <f>ROUND(R17*(1+'BASIC INPUT'!$C$100),0)</f>
        <v>0</v>
      </c>
      <c r="T17" s="17">
        <f>ROUND(S17*(1+'BASIC INPUT'!$C$100),0)</f>
        <v>0</v>
      </c>
      <c r="U17" s="17">
        <f>ROUND(T17*(1+'BASIC INPUT'!$C$100),0)</f>
        <v>0</v>
      </c>
      <c r="V17" s="17">
        <f>ROUND(U17*(1+'BASIC INPUT'!$C$100),0)</f>
        <v>0</v>
      </c>
      <c r="W17" s="17">
        <f>ROUND(V17*(1+'BASIC INPUT'!$C$100),0)</f>
        <v>0</v>
      </c>
      <c r="X17" s="17">
        <f>ROUND(W17*(1+'BASIC INPUT'!$C$100),0)</f>
        <v>0</v>
      </c>
      <c r="Y17" s="17">
        <f>ROUND(X17*(1+'BASIC INPUT'!$C$100),0)</f>
        <v>0</v>
      </c>
      <c r="Z17" s="17">
        <f>ROUND(Y17*(1+'BASIC INPUT'!$C$100),0)</f>
        <v>0</v>
      </c>
      <c r="AA17" s="17">
        <f>ROUND(Z17*(1+'BASIC INPUT'!$C$100),0)</f>
        <v>0</v>
      </c>
      <c r="AB17" s="17">
        <f>ROUND(AA17*(1+'BASIC INPUT'!$C$100),0)</f>
        <v>0</v>
      </c>
      <c r="AC17" s="17">
        <f>ROUND(AB17*(1+'BASIC INPUT'!$C$100),0)</f>
        <v>0</v>
      </c>
      <c r="AD17" s="17">
        <f>ROUND(AC17*(1+'BASIC INPUT'!$C$100),0)</f>
        <v>0</v>
      </c>
      <c r="AE17" s="17">
        <f>ROUND(AD17*(1+'BASIC INPUT'!$C$100),0)</f>
        <v>0</v>
      </c>
      <c r="AF17" s="17">
        <f>ROUND(AE17*(1+'BASIC INPUT'!$C$100),0)</f>
        <v>0</v>
      </c>
      <c r="AG17" s="17">
        <f>ROUND(AF17*(1+'BASIC INPUT'!$C$100),0)</f>
        <v>0</v>
      </c>
      <c r="AH17" s="17">
        <f>ROUND(AG17*(1+'BASIC INPUT'!$C$100),0)</f>
        <v>0</v>
      </c>
      <c r="AI17" s="17">
        <f>ROUND(AH17*(1+'BASIC INPUT'!$C$100),0)</f>
        <v>0</v>
      </c>
      <c r="AJ17" s="17">
        <f>ROUND(AI17*(1+'BASIC INPUT'!$C$100),0)</f>
        <v>0</v>
      </c>
      <c r="AK17" s="17">
        <f>ROUND(AJ17*(1+'BASIC INPUT'!$C$100),0)</f>
        <v>0</v>
      </c>
      <c r="AL17" s="17">
        <f>ROUND(AK17*(1+'BASIC INPUT'!$C$100),0)</f>
        <v>0</v>
      </c>
      <c r="AM17" s="17">
        <f>ROUND(AL17*(1+'BASIC INPUT'!$C$100),0)</f>
        <v>0</v>
      </c>
      <c r="AN17" s="17">
        <f>ROUND(AM17*(1+'BASIC INPUT'!$C$100),0)</f>
        <v>0</v>
      </c>
      <c r="AO17" s="17">
        <f>ROUND(AN17*(1+'BASIC INPUT'!$C$100),0)</f>
        <v>0</v>
      </c>
      <c r="AP17" s="17">
        <f>ROUND(AO17*(1+'BASIC INPUT'!$C$100),0)</f>
        <v>0</v>
      </c>
    </row>
    <row r="18" spans="1:42" x14ac:dyDescent="0.25">
      <c r="A18" s="65">
        <f t="shared" si="1"/>
        <v>15</v>
      </c>
      <c r="B18" s="135" t="s">
        <v>394</v>
      </c>
      <c r="C18" s="17">
        <f>'BASIC INPUT'!C89</f>
        <v>0</v>
      </c>
      <c r="D18" s="17">
        <f>ROUND(C18*(1+'BASIC INPUT'!$C$100),0)</f>
        <v>0</v>
      </c>
      <c r="E18" s="17">
        <f>ROUND(D18*(1+'BASIC INPUT'!$C$100),0)</f>
        <v>0</v>
      </c>
      <c r="F18" s="17">
        <f>ROUND(E18*(1+'BASIC INPUT'!$C$100),0)</f>
        <v>0</v>
      </c>
      <c r="G18" s="17">
        <f>ROUND(F18*(1+'BASIC INPUT'!$C$100),0)</f>
        <v>0</v>
      </c>
      <c r="H18" s="17">
        <f>ROUND(G18*(1+'BASIC INPUT'!$C$100),0)</f>
        <v>0</v>
      </c>
      <c r="I18" s="17">
        <f>ROUND(H18*(1+'BASIC INPUT'!$C$100),0)</f>
        <v>0</v>
      </c>
      <c r="J18" s="17">
        <f>ROUND(I18*(1+'BASIC INPUT'!$C$100),0)</f>
        <v>0</v>
      </c>
      <c r="K18" s="17">
        <f>ROUND(J18*(1+'BASIC INPUT'!$C$100),0)</f>
        <v>0</v>
      </c>
      <c r="L18" s="17">
        <f>ROUND(K18*(1+'BASIC INPUT'!$C$100),0)</f>
        <v>0</v>
      </c>
      <c r="M18" s="17">
        <f>ROUND(L18*(1+'BASIC INPUT'!$C$100),0)</f>
        <v>0</v>
      </c>
      <c r="N18" s="17">
        <f>ROUND(M18*(1+'BASIC INPUT'!$C$100),0)</f>
        <v>0</v>
      </c>
      <c r="O18" s="17">
        <f>ROUND(N18*(1+'BASIC INPUT'!$C$100),0)</f>
        <v>0</v>
      </c>
      <c r="P18" s="17">
        <f>ROUND(O18*(1+'BASIC INPUT'!$C$100),0)</f>
        <v>0</v>
      </c>
      <c r="Q18" s="17">
        <f>ROUND(P18*(1+'BASIC INPUT'!$C$100),0)</f>
        <v>0</v>
      </c>
      <c r="R18" s="17">
        <f>ROUND(Q18*(1+'BASIC INPUT'!$C$100),0)</f>
        <v>0</v>
      </c>
      <c r="S18" s="17">
        <f>ROUND(R18*(1+'BASIC INPUT'!$C$100),0)</f>
        <v>0</v>
      </c>
      <c r="T18" s="17">
        <f>ROUND(S18*(1+'BASIC INPUT'!$C$100),0)</f>
        <v>0</v>
      </c>
      <c r="U18" s="17">
        <f>ROUND(T18*(1+'BASIC INPUT'!$C$100),0)</f>
        <v>0</v>
      </c>
      <c r="V18" s="17">
        <f>ROUND(U18*(1+'BASIC INPUT'!$C$100),0)</f>
        <v>0</v>
      </c>
      <c r="W18" s="17">
        <f>ROUND(V18*(1+'BASIC INPUT'!$C$100),0)</f>
        <v>0</v>
      </c>
      <c r="X18" s="17">
        <f>ROUND(W18*(1+'BASIC INPUT'!$C$100),0)</f>
        <v>0</v>
      </c>
      <c r="Y18" s="17">
        <f>ROUND(X18*(1+'BASIC INPUT'!$C$100),0)</f>
        <v>0</v>
      </c>
      <c r="Z18" s="17">
        <f>ROUND(Y18*(1+'BASIC INPUT'!$C$100),0)</f>
        <v>0</v>
      </c>
      <c r="AA18" s="17">
        <f>ROUND(Z18*(1+'BASIC INPUT'!$C$100),0)</f>
        <v>0</v>
      </c>
      <c r="AB18" s="17">
        <f>ROUND(AA18*(1+'BASIC INPUT'!$C$100),0)</f>
        <v>0</v>
      </c>
      <c r="AC18" s="17">
        <f>ROUND(AB18*(1+'BASIC INPUT'!$C$100),0)</f>
        <v>0</v>
      </c>
      <c r="AD18" s="17">
        <f>ROUND(AC18*(1+'BASIC INPUT'!$C$100),0)</f>
        <v>0</v>
      </c>
      <c r="AE18" s="17">
        <f>ROUND(AD18*(1+'BASIC INPUT'!$C$100),0)</f>
        <v>0</v>
      </c>
      <c r="AF18" s="17">
        <f>ROUND(AE18*(1+'BASIC INPUT'!$C$100),0)</f>
        <v>0</v>
      </c>
      <c r="AG18" s="17">
        <f>ROUND(AF18*(1+'BASIC INPUT'!$C$100),0)</f>
        <v>0</v>
      </c>
      <c r="AH18" s="17">
        <f>ROUND(AG18*(1+'BASIC INPUT'!$C$100),0)</f>
        <v>0</v>
      </c>
      <c r="AI18" s="17">
        <f>ROUND(AH18*(1+'BASIC INPUT'!$C$100),0)</f>
        <v>0</v>
      </c>
      <c r="AJ18" s="17">
        <f>ROUND(AI18*(1+'BASIC INPUT'!$C$100),0)</f>
        <v>0</v>
      </c>
      <c r="AK18" s="17">
        <f>ROUND(AJ18*(1+'BASIC INPUT'!$C$100),0)</f>
        <v>0</v>
      </c>
      <c r="AL18" s="17">
        <f>ROUND(AK18*(1+'BASIC INPUT'!$C$100),0)</f>
        <v>0</v>
      </c>
      <c r="AM18" s="17">
        <f>ROUND(AL18*(1+'BASIC INPUT'!$C$100),0)</f>
        <v>0</v>
      </c>
      <c r="AN18" s="17">
        <f>ROUND(AM18*(1+'BASIC INPUT'!$C$100),0)</f>
        <v>0</v>
      </c>
      <c r="AO18" s="17">
        <f>ROUND(AN18*(1+'BASIC INPUT'!$C$100),0)</f>
        <v>0</v>
      </c>
      <c r="AP18" s="17">
        <f>ROUND(AO18*(1+'BASIC INPUT'!$C$100),0)</f>
        <v>0</v>
      </c>
    </row>
    <row r="19" spans="1:42" x14ac:dyDescent="0.25">
      <c r="A19" s="65">
        <f t="shared" si="1"/>
        <v>16</v>
      </c>
      <c r="B19" s="135" t="s">
        <v>395</v>
      </c>
      <c r="C19" s="17">
        <f>'BASIC INPUT'!C90</f>
        <v>0</v>
      </c>
      <c r="D19" s="17">
        <f>ROUND(C19*(1+'BASIC INPUT'!$C$100),0)</f>
        <v>0</v>
      </c>
      <c r="E19" s="17">
        <f>ROUND(D19*(1+'BASIC INPUT'!$C$100),0)</f>
        <v>0</v>
      </c>
      <c r="F19" s="17">
        <f>ROUND(E19*(1+'BASIC INPUT'!$C$100),0)</f>
        <v>0</v>
      </c>
      <c r="G19" s="17">
        <f>ROUND(F19*(1+'BASIC INPUT'!$C$100),0)</f>
        <v>0</v>
      </c>
      <c r="H19" s="17">
        <f>ROUND(G19*(1+'BASIC INPUT'!$C$100),0)</f>
        <v>0</v>
      </c>
      <c r="I19" s="17">
        <f>ROUND(H19*(1+'BASIC INPUT'!$C$100),0)</f>
        <v>0</v>
      </c>
      <c r="J19" s="17">
        <f>ROUND(I19*(1+'BASIC INPUT'!$C$100),0)</f>
        <v>0</v>
      </c>
      <c r="K19" s="17">
        <f>ROUND(J19*(1+'BASIC INPUT'!$C$100),0)</f>
        <v>0</v>
      </c>
      <c r="L19" s="17">
        <f>ROUND(K19*(1+'BASIC INPUT'!$C$100),0)</f>
        <v>0</v>
      </c>
      <c r="M19" s="17">
        <f>ROUND(L19*(1+'BASIC INPUT'!$C$100),0)</f>
        <v>0</v>
      </c>
      <c r="N19" s="17">
        <f>ROUND(M19*(1+'BASIC INPUT'!$C$100),0)</f>
        <v>0</v>
      </c>
      <c r="O19" s="17">
        <f>ROUND(N19*(1+'BASIC INPUT'!$C$100),0)</f>
        <v>0</v>
      </c>
      <c r="P19" s="17">
        <f>ROUND(O19*(1+'BASIC INPUT'!$C$100),0)</f>
        <v>0</v>
      </c>
      <c r="Q19" s="17">
        <f>ROUND(P19*(1+'BASIC INPUT'!$C$100),0)</f>
        <v>0</v>
      </c>
      <c r="R19" s="17">
        <f>ROUND(Q19*(1+'BASIC INPUT'!$C$100),0)</f>
        <v>0</v>
      </c>
      <c r="S19" s="17">
        <f>ROUND(R19*(1+'BASIC INPUT'!$C$100),0)</f>
        <v>0</v>
      </c>
      <c r="T19" s="17">
        <f>ROUND(S19*(1+'BASIC INPUT'!$C$100),0)</f>
        <v>0</v>
      </c>
      <c r="U19" s="17">
        <f>ROUND(T19*(1+'BASIC INPUT'!$C$100),0)</f>
        <v>0</v>
      </c>
      <c r="V19" s="17">
        <f>ROUND(U19*(1+'BASIC INPUT'!$C$100),0)</f>
        <v>0</v>
      </c>
      <c r="W19" s="17">
        <f>ROUND(V19*(1+'BASIC INPUT'!$C$100),0)</f>
        <v>0</v>
      </c>
      <c r="X19" s="17">
        <f>ROUND(W19*(1+'BASIC INPUT'!$C$100),0)</f>
        <v>0</v>
      </c>
      <c r="Y19" s="17">
        <f>ROUND(X19*(1+'BASIC INPUT'!$C$100),0)</f>
        <v>0</v>
      </c>
      <c r="Z19" s="17">
        <f>ROUND(Y19*(1+'BASIC INPUT'!$C$100),0)</f>
        <v>0</v>
      </c>
      <c r="AA19" s="17">
        <f>ROUND(Z19*(1+'BASIC INPUT'!$C$100),0)</f>
        <v>0</v>
      </c>
      <c r="AB19" s="17">
        <f>ROUND(AA19*(1+'BASIC INPUT'!$C$100),0)</f>
        <v>0</v>
      </c>
      <c r="AC19" s="17">
        <f>ROUND(AB19*(1+'BASIC INPUT'!$C$100),0)</f>
        <v>0</v>
      </c>
      <c r="AD19" s="17">
        <f>ROUND(AC19*(1+'BASIC INPUT'!$C$100),0)</f>
        <v>0</v>
      </c>
      <c r="AE19" s="17">
        <f>ROUND(AD19*(1+'BASIC INPUT'!$C$100),0)</f>
        <v>0</v>
      </c>
      <c r="AF19" s="17">
        <f>ROUND(AE19*(1+'BASIC INPUT'!$C$100),0)</f>
        <v>0</v>
      </c>
      <c r="AG19" s="17">
        <f>ROUND(AF19*(1+'BASIC INPUT'!$C$100),0)</f>
        <v>0</v>
      </c>
      <c r="AH19" s="17">
        <f>ROUND(AG19*(1+'BASIC INPUT'!$C$100),0)</f>
        <v>0</v>
      </c>
      <c r="AI19" s="17">
        <f>ROUND(AH19*(1+'BASIC INPUT'!$C$100),0)</f>
        <v>0</v>
      </c>
      <c r="AJ19" s="17">
        <f>ROUND(AI19*(1+'BASIC INPUT'!$C$100),0)</f>
        <v>0</v>
      </c>
      <c r="AK19" s="17">
        <f>ROUND(AJ19*(1+'BASIC INPUT'!$C$100),0)</f>
        <v>0</v>
      </c>
      <c r="AL19" s="17">
        <f>ROUND(AK19*(1+'BASIC INPUT'!$C$100),0)</f>
        <v>0</v>
      </c>
      <c r="AM19" s="17">
        <f>ROUND(AL19*(1+'BASIC INPUT'!$C$100),0)</f>
        <v>0</v>
      </c>
      <c r="AN19" s="17">
        <f>ROUND(AM19*(1+'BASIC INPUT'!$C$100),0)</f>
        <v>0</v>
      </c>
      <c r="AO19" s="17">
        <f>ROUND(AN19*(1+'BASIC INPUT'!$C$100),0)</f>
        <v>0</v>
      </c>
      <c r="AP19" s="17">
        <f>ROUND(AO19*(1+'BASIC INPUT'!$C$100),0)</f>
        <v>0</v>
      </c>
    </row>
    <row r="20" spans="1:42" x14ac:dyDescent="0.25">
      <c r="A20" s="65">
        <f t="shared" si="1"/>
        <v>17</v>
      </c>
      <c r="B20" s="135" t="s">
        <v>396</v>
      </c>
      <c r="C20" s="17">
        <f>'BASIC INPUT'!C91</f>
        <v>0</v>
      </c>
      <c r="D20" s="17">
        <f>ROUND(C20*(1+'BASIC INPUT'!$C$100),0)</f>
        <v>0</v>
      </c>
      <c r="E20" s="17">
        <f>ROUND(D20*(1+'BASIC INPUT'!$C$100),0)</f>
        <v>0</v>
      </c>
      <c r="F20" s="17">
        <f>ROUND(E20*(1+'BASIC INPUT'!$C$100),0)</f>
        <v>0</v>
      </c>
      <c r="G20" s="17">
        <f>ROUND(F20*(1+'BASIC INPUT'!$C$100),0)</f>
        <v>0</v>
      </c>
      <c r="H20" s="17">
        <f>ROUND(G20*(1+'BASIC INPUT'!$C$100),0)</f>
        <v>0</v>
      </c>
      <c r="I20" s="17">
        <f>ROUND(H20*(1+'BASIC INPUT'!$C$100),0)</f>
        <v>0</v>
      </c>
      <c r="J20" s="17">
        <f>ROUND(I20*(1+'BASIC INPUT'!$C$100),0)</f>
        <v>0</v>
      </c>
      <c r="K20" s="17">
        <f>ROUND(J20*(1+'BASIC INPUT'!$C$100),0)</f>
        <v>0</v>
      </c>
      <c r="L20" s="17">
        <f>ROUND(K20*(1+'BASIC INPUT'!$C$100),0)</f>
        <v>0</v>
      </c>
      <c r="M20" s="17">
        <f>ROUND(L20*(1+'BASIC INPUT'!$C$100),0)</f>
        <v>0</v>
      </c>
      <c r="N20" s="17">
        <f>ROUND(M20*(1+'BASIC INPUT'!$C$100),0)</f>
        <v>0</v>
      </c>
      <c r="O20" s="17">
        <f>ROUND(N20*(1+'BASIC INPUT'!$C$100),0)</f>
        <v>0</v>
      </c>
      <c r="P20" s="17">
        <f>ROUND(O20*(1+'BASIC INPUT'!$C$100),0)</f>
        <v>0</v>
      </c>
      <c r="Q20" s="17">
        <f>ROUND(P20*(1+'BASIC INPUT'!$C$100),0)</f>
        <v>0</v>
      </c>
      <c r="R20" s="17">
        <f>ROUND(Q20*(1+'BASIC INPUT'!$C$100),0)</f>
        <v>0</v>
      </c>
      <c r="S20" s="17">
        <f>ROUND(R20*(1+'BASIC INPUT'!$C$100),0)</f>
        <v>0</v>
      </c>
      <c r="T20" s="17">
        <f>ROUND(S20*(1+'BASIC INPUT'!$C$100),0)</f>
        <v>0</v>
      </c>
      <c r="U20" s="17">
        <f>ROUND(T20*(1+'BASIC INPUT'!$C$100),0)</f>
        <v>0</v>
      </c>
      <c r="V20" s="17">
        <f>ROUND(U20*(1+'BASIC INPUT'!$C$100),0)</f>
        <v>0</v>
      </c>
      <c r="W20" s="17">
        <f>ROUND(V20*(1+'BASIC INPUT'!$C$100),0)</f>
        <v>0</v>
      </c>
      <c r="X20" s="17">
        <f>ROUND(W20*(1+'BASIC INPUT'!$C$100),0)</f>
        <v>0</v>
      </c>
      <c r="Y20" s="17">
        <f>ROUND(X20*(1+'BASIC INPUT'!$C$100),0)</f>
        <v>0</v>
      </c>
      <c r="Z20" s="17">
        <f>ROUND(Y20*(1+'BASIC INPUT'!$C$100),0)</f>
        <v>0</v>
      </c>
      <c r="AA20" s="17">
        <f>ROUND(Z20*(1+'BASIC INPUT'!$C$100),0)</f>
        <v>0</v>
      </c>
      <c r="AB20" s="17">
        <f>ROUND(AA20*(1+'BASIC INPUT'!$C$100),0)</f>
        <v>0</v>
      </c>
      <c r="AC20" s="17">
        <f>ROUND(AB20*(1+'BASIC INPUT'!$C$100),0)</f>
        <v>0</v>
      </c>
      <c r="AD20" s="17">
        <f>ROUND(AC20*(1+'BASIC INPUT'!$C$100),0)</f>
        <v>0</v>
      </c>
      <c r="AE20" s="17">
        <f>ROUND(AD20*(1+'BASIC INPUT'!$C$100),0)</f>
        <v>0</v>
      </c>
      <c r="AF20" s="17">
        <f>ROUND(AE20*(1+'BASIC INPUT'!$C$100),0)</f>
        <v>0</v>
      </c>
      <c r="AG20" s="17">
        <f>ROUND(AF20*(1+'BASIC INPUT'!$C$100),0)</f>
        <v>0</v>
      </c>
      <c r="AH20" s="17">
        <f>ROUND(AG20*(1+'BASIC INPUT'!$C$100),0)</f>
        <v>0</v>
      </c>
      <c r="AI20" s="17">
        <f>ROUND(AH20*(1+'BASIC INPUT'!$C$100),0)</f>
        <v>0</v>
      </c>
      <c r="AJ20" s="17">
        <f>ROUND(AI20*(1+'BASIC INPUT'!$C$100),0)</f>
        <v>0</v>
      </c>
      <c r="AK20" s="17">
        <f>ROUND(AJ20*(1+'BASIC INPUT'!$C$100),0)</f>
        <v>0</v>
      </c>
      <c r="AL20" s="17">
        <f>ROUND(AK20*(1+'BASIC INPUT'!$C$100),0)</f>
        <v>0</v>
      </c>
      <c r="AM20" s="17">
        <f>ROUND(AL20*(1+'BASIC INPUT'!$C$100),0)</f>
        <v>0</v>
      </c>
      <c r="AN20" s="17">
        <f>ROUND(AM20*(1+'BASIC INPUT'!$C$100),0)</f>
        <v>0</v>
      </c>
      <c r="AO20" s="17">
        <f>ROUND(AN20*(1+'BASIC INPUT'!$C$100),0)</f>
        <v>0</v>
      </c>
      <c r="AP20" s="17">
        <f>ROUND(AO20*(1+'BASIC INPUT'!$C$100),0)</f>
        <v>0</v>
      </c>
    </row>
    <row r="21" spans="1:42" x14ac:dyDescent="0.25">
      <c r="A21" s="65">
        <f t="shared" si="1"/>
        <v>18</v>
      </c>
      <c r="B21" s="68" t="s">
        <v>196</v>
      </c>
      <c r="C21" s="69">
        <f t="shared" ref="C21:AP21" si="6">SUM(C16:C20)</f>
        <v>0</v>
      </c>
      <c r="D21" s="69">
        <f t="shared" si="6"/>
        <v>0</v>
      </c>
      <c r="E21" s="69">
        <f t="shared" si="6"/>
        <v>0</v>
      </c>
      <c r="F21" s="69">
        <f t="shared" si="6"/>
        <v>0</v>
      </c>
      <c r="G21" s="69">
        <f t="shared" si="6"/>
        <v>0</v>
      </c>
      <c r="H21" s="69">
        <f t="shared" si="6"/>
        <v>0</v>
      </c>
      <c r="I21" s="69">
        <f t="shared" si="6"/>
        <v>0</v>
      </c>
      <c r="J21" s="69">
        <f t="shared" si="6"/>
        <v>0</v>
      </c>
      <c r="K21" s="69">
        <f t="shared" si="6"/>
        <v>0</v>
      </c>
      <c r="L21" s="69">
        <f t="shared" si="6"/>
        <v>0</v>
      </c>
      <c r="M21" s="69">
        <f t="shared" si="6"/>
        <v>0</v>
      </c>
      <c r="N21" s="69">
        <f t="shared" si="6"/>
        <v>0</v>
      </c>
      <c r="O21" s="69">
        <f t="shared" si="6"/>
        <v>0</v>
      </c>
      <c r="P21" s="69">
        <f t="shared" si="6"/>
        <v>0</v>
      </c>
      <c r="Q21" s="69">
        <f t="shared" si="6"/>
        <v>0</v>
      </c>
      <c r="R21" s="69">
        <f t="shared" si="6"/>
        <v>0</v>
      </c>
      <c r="S21" s="69">
        <f t="shared" si="6"/>
        <v>0</v>
      </c>
      <c r="T21" s="69">
        <f t="shared" si="6"/>
        <v>0</v>
      </c>
      <c r="U21" s="69">
        <f t="shared" si="6"/>
        <v>0</v>
      </c>
      <c r="V21" s="69">
        <f t="shared" si="6"/>
        <v>0</v>
      </c>
      <c r="W21" s="69">
        <f t="shared" si="6"/>
        <v>0</v>
      </c>
      <c r="X21" s="69">
        <f t="shared" si="6"/>
        <v>0</v>
      </c>
      <c r="Y21" s="69">
        <f t="shared" si="6"/>
        <v>0</v>
      </c>
      <c r="Z21" s="69">
        <f t="shared" si="6"/>
        <v>0</v>
      </c>
      <c r="AA21" s="69">
        <f t="shared" si="6"/>
        <v>0</v>
      </c>
      <c r="AB21" s="69">
        <f t="shared" si="6"/>
        <v>0</v>
      </c>
      <c r="AC21" s="69">
        <f t="shared" si="6"/>
        <v>0</v>
      </c>
      <c r="AD21" s="69">
        <f t="shared" si="6"/>
        <v>0</v>
      </c>
      <c r="AE21" s="69">
        <f t="shared" si="6"/>
        <v>0</v>
      </c>
      <c r="AF21" s="69">
        <f t="shared" si="6"/>
        <v>0</v>
      </c>
      <c r="AG21" s="69">
        <f t="shared" si="6"/>
        <v>0</v>
      </c>
      <c r="AH21" s="69">
        <f t="shared" si="6"/>
        <v>0</v>
      </c>
      <c r="AI21" s="69">
        <f t="shared" si="6"/>
        <v>0</v>
      </c>
      <c r="AJ21" s="69">
        <f t="shared" si="6"/>
        <v>0</v>
      </c>
      <c r="AK21" s="69">
        <f t="shared" si="6"/>
        <v>0</v>
      </c>
      <c r="AL21" s="69">
        <f t="shared" si="6"/>
        <v>0</v>
      </c>
      <c r="AM21" s="69">
        <f t="shared" si="6"/>
        <v>0</v>
      </c>
      <c r="AN21" s="69">
        <f t="shared" si="6"/>
        <v>0</v>
      </c>
      <c r="AO21" s="69">
        <f t="shared" si="6"/>
        <v>0</v>
      </c>
      <c r="AP21" s="69">
        <f t="shared" si="6"/>
        <v>0</v>
      </c>
    </row>
    <row r="22" spans="1:42" ht="6" customHeight="1" x14ac:dyDescent="0.25">
      <c r="A22" s="65">
        <f t="shared" si="1"/>
        <v>19</v>
      </c>
    </row>
    <row r="23" spans="1:42" x14ac:dyDescent="0.25">
      <c r="A23" s="65">
        <f t="shared" si="1"/>
        <v>20</v>
      </c>
      <c r="B23" s="68" t="s">
        <v>197</v>
      </c>
      <c r="C23" s="69">
        <f t="shared" ref="C23:AP23" si="7">+C15-C21</f>
        <v>0</v>
      </c>
      <c r="D23" s="69">
        <f t="shared" si="7"/>
        <v>0</v>
      </c>
      <c r="E23" s="69">
        <f t="shared" si="7"/>
        <v>0</v>
      </c>
      <c r="F23" s="69">
        <f t="shared" si="7"/>
        <v>0</v>
      </c>
      <c r="G23" s="69">
        <f t="shared" si="7"/>
        <v>0</v>
      </c>
      <c r="H23" s="69">
        <f t="shared" si="7"/>
        <v>0</v>
      </c>
      <c r="I23" s="69">
        <f t="shared" si="7"/>
        <v>0</v>
      </c>
      <c r="J23" s="69">
        <f t="shared" si="7"/>
        <v>0</v>
      </c>
      <c r="K23" s="69">
        <f t="shared" si="7"/>
        <v>0</v>
      </c>
      <c r="L23" s="69">
        <f t="shared" si="7"/>
        <v>0</v>
      </c>
      <c r="M23" s="69">
        <f t="shared" si="7"/>
        <v>0</v>
      </c>
      <c r="N23" s="69">
        <f t="shared" si="7"/>
        <v>0</v>
      </c>
      <c r="O23" s="69">
        <f t="shared" si="7"/>
        <v>0</v>
      </c>
      <c r="P23" s="69">
        <f t="shared" si="7"/>
        <v>0</v>
      </c>
      <c r="Q23" s="69">
        <f t="shared" si="7"/>
        <v>0</v>
      </c>
      <c r="R23" s="69">
        <f t="shared" si="7"/>
        <v>0</v>
      </c>
      <c r="S23" s="69">
        <f t="shared" si="7"/>
        <v>0</v>
      </c>
      <c r="T23" s="69">
        <f t="shared" si="7"/>
        <v>0</v>
      </c>
      <c r="U23" s="69">
        <f t="shared" si="7"/>
        <v>0</v>
      </c>
      <c r="V23" s="69">
        <f t="shared" si="7"/>
        <v>0</v>
      </c>
      <c r="W23" s="69">
        <f t="shared" si="7"/>
        <v>0</v>
      </c>
      <c r="X23" s="69">
        <f t="shared" si="7"/>
        <v>0</v>
      </c>
      <c r="Y23" s="69">
        <f t="shared" si="7"/>
        <v>0</v>
      </c>
      <c r="Z23" s="69">
        <f t="shared" si="7"/>
        <v>0</v>
      </c>
      <c r="AA23" s="69">
        <f t="shared" si="7"/>
        <v>0</v>
      </c>
      <c r="AB23" s="69">
        <f t="shared" si="7"/>
        <v>0</v>
      </c>
      <c r="AC23" s="69">
        <f t="shared" si="7"/>
        <v>0</v>
      </c>
      <c r="AD23" s="69">
        <f t="shared" si="7"/>
        <v>0</v>
      </c>
      <c r="AE23" s="69">
        <f t="shared" si="7"/>
        <v>0</v>
      </c>
      <c r="AF23" s="69">
        <f t="shared" si="7"/>
        <v>0</v>
      </c>
      <c r="AG23" s="69">
        <f t="shared" si="7"/>
        <v>0</v>
      </c>
      <c r="AH23" s="69">
        <f t="shared" si="7"/>
        <v>0</v>
      </c>
      <c r="AI23" s="69">
        <f t="shared" si="7"/>
        <v>0</v>
      </c>
      <c r="AJ23" s="69">
        <f t="shared" si="7"/>
        <v>0</v>
      </c>
      <c r="AK23" s="69">
        <f t="shared" si="7"/>
        <v>0</v>
      </c>
      <c r="AL23" s="69">
        <f t="shared" si="7"/>
        <v>0</v>
      </c>
      <c r="AM23" s="69">
        <f t="shared" si="7"/>
        <v>0</v>
      </c>
      <c r="AN23" s="69">
        <f t="shared" si="7"/>
        <v>0</v>
      </c>
      <c r="AO23" s="69">
        <f t="shared" si="7"/>
        <v>0</v>
      </c>
      <c r="AP23" s="69">
        <f t="shared" si="7"/>
        <v>0</v>
      </c>
    </row>
    <row r="24" spans="1:42" x14ac:dyDescent="0.25">
      <c r="A24" s="103">
        <v>1.2</v>
      </c>
      <c r="B24" s="135" t="s">
        <v>198</v>
      </c>
      <c r="C24" s="17">
        <f>C23/A24</f>
        <v>0</v>
      </c>
      <c r="D24" s="17">
        <f>C24</f>
        <v>0</v>
      </c>
      <c r="E24" s="17">
        <f t="shared" ref="E24:L24" si="8">D24</f>
        <v>0</v>
      </c>
      <c r="F24" s="17">
        <f t="shared" si="8"/>
        <v>0</v>
      </c>
      <c r="G24" s="17">
        <f t="shared" si="8"/>
        <v>0</v>
      </c>
      <c r="H24" s="17">
        <f t="shared" si="8"/>
        <v>0</v>
      </c>
      <c r="I24" s="17">
        <f t="shared" si="8"/>
        <v>0</v>
      </c>
      <c r="J24" s="17">
        <f t="shared" si="8"/>
        <v>0</v>
      </c>
      <c r="K24" s="17">
        <f t="shared" si="8"/>
        <v>0</v>
      </c>
      <c r="L24" s="17">
        <f t="shared" si="8"/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pans="1:42" x14ac:dyDescent="0.25">
      <c r="A25" s="65">
        <f t="shared" si="1"/>
        <v>22</v>
      </c>
      <c r="B25" s="135" t="s">
        <v>199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f>'BASIC INPUT'!C123*12</f>
        <v>0</v>
      </c>
      <c r="N25" s="17">
        <f>M25</f>
        <v>0</v>
      </c>
      <c r="O25" s="17">
        <f t="shared" ref="O25:V25" si="9">N25</f>
        <v>0</v>
      </c>
      <c r="P25" s="17">
        <f t="shared" si="9"/>
        <v>0</v>
      </c>
      <c r="Q25" s="17">
        <f t="shared" si="9"/>
        <v>0</v>
      </c>
      <c r="R25" s="17">
        <f t="shared" si="9"/>
        <v>0</v>
      </c>
      <c r="S25" s="17">
        <f t="shared" si="9"/>
        <v>0</v>
      </c>
      <c r="T25" s="17">
        <f t="shared" si="9"/>
        <v>0</v>
      </c>
      <c r="U25" s="17">
        <f t="shared" si="9"/>
        <v>0</v>
      </c>
      <c r="V25" s="17">
        <f t="shared" si="9"/>
        <v>0</v>
      </c>
    </row>
    <row r="26" spans="1:42" x14ac:dyDescent="0.25">
      <c r="A26" s="65">
        <f t="shared" si="1"/>
        <v>23</v>
      </c>
      <c r="B26" s="68" t="s">
        <v>200</v>
      </c>
      <c r="C26" s="69">
        <f t="shared" ref="C26:V26" si="10">C23-SUM(C24:C25)</f>
        <v>0</v>
      </c>
      <c r="D26" s="69">
        <f t="shared" si="10"/>
        <v>0</v>
      </c>
      <c r="E26" s="69">
        <f t="shared" si="10"/>
        <v>0</v>
      </c>
      <c r="F26" s="69">
        <f t="shared" si="10"/>
        <v>0</v>
      </c>
      <c r="G26" s="69">
        <f t="shared" si="10"/>
        <v>0</v>
      </c>
      <c r="H26" s="69">
        <f t="shared" si="10"/>
        <v>0</v>
      </c>
      <c r="I26" s="69">
        <f t="shared" si="10"/>
        <v>0</v>
      </c>
      <c r="J26" s="69">
        <f t="shared" si="10"/>
        <v>0</v>
      </c>
      <c r="K26" s="69">
        <f t="shared" si="10"/>
        <v>0</v>
      </c>
      <c r="L26" s="69">
        <f t="shared" si="10"/>
        <v>0</v>
      </c>
      <c r="M26" s="69">
        <f t="shared" si="10"/>
        <v>0</v>
      </c>
      <c r="N26" s="69">
        <f t="shared" si="10"/>
        <v>0</v>
      </c>
      <c r="O26" s="69">
        <f t="shared" si="10"/>
        <v>0</v>
      </c>
      <c r="P26" s="69">
        <f t="shared" si="10"/>
        <v>0</v>
      </c>
      <c r="Q26" s="69">
        <f t="shared" si="10"/>
        <v>0</v>
      </c>
      <c r="R26" s="69">
        <f t="shared" si="10"/>
        <v>0</v>
      </c>
      <c r="S26" s="69">
        <f t="shared" si="10"/>
        <v>0</v>
      </c>
      <c r="T26" s="69">
        <f t="shared" si="10"/>
        <v>0</v>
      </c>
      <c r="U26" s="69">
        <f t="shared" si="10"/>
        <v>0</v>
      </c>
      <c r="V26" s="69">
        <f t="shared" si="10"/>
        <v>0</v>
      </c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</row>
    <row r="27" spans="1:42" ht="6" customHeight="1" x14ac:dyDescent="0.25">
      <c r="A27" s="65">
        <f t="shared" si="1"/>
        <v>24</v>
      </c>
    </row>
    <row r="28" spans="1:42" x14ac:dyDescent="0.25">
      <c r="A28" s="102">
        <f>'BASIC INPUT'!C102</f>
        <v>0</v>
      </c>
      <c r="B28" s="135" t="str">
        <f>CONCATENATE("CDBG Loan Payment @ ",A28*10,"0%"," of CF")</f>
        <v>CDBG Loan Payment @ 00% of CF</v>
      </c>
      <c r="C28" s="17">
        <f t="shared" ref="C28:V28" si="11">IF(C26&lt;=0,0,IF(C$3&gt;20,0,ROUND(C26*$A$28,0)))</f>
        <v>0</v>
      </c>
      <c r="D28" s="17">
        <f t="shared" si="11"/>
        <v>0</v>
      </c>
      <c r="E28" s="17">
        <f t="shared" si="11"/>
        <v>0</v>
      </c>
      <c r="F28" s="17">
        <f t="shared" si="11"/>
        <v>0</v>
      </c>
      <c r="G28" s="17">
        <f t="shared" si="11"/>
        <v>0</v>
      </c>
      <c r="H28" s="17">
        <f t="shared" si="11"/>
        <v>0</v>
      </c>
      <c r="I28" s="17">
        <f t="shared" si="11"/>
        <v>0</v>
      </c>
      <c r="J28" s="17">
        <f t="shared" si="11"/>
        <v>0</v>
      </c>
      <c r="K28" s="17">
        <f t="shared" si="11"/>
        <v>0</v>
      </c>
      <c r="L28" s="17">
        <f t="shared" si="11"/>
        <v>0</v>
      </c>
      <c r="M28" s="17">
        <f t="shared" si="11"/>
        <v>0</v>
      </c>
      <c r="N28" s="17">
        <f t="shared" si="11"/>
        <v>0</v>
      </c>
      <c r="O28" s="17">
        <f t="shared" si="11"/>
        <v>0</v>
      </c>
      <c r="P28" s="17">
        <f t="shared" si="11"/>
        <v>0</v>
      </c>
      <c r="Q28" s="17">
        <f t="shared" si="11"/>
        <v>0</v>
      </c>
      <c r="R28" s="17">
        <f t="shared" si="11"/>
        <v>0</v>
      </c>
      <c r="S28" s="17">
        <f t="shared" si="11"/>
        <v>0</v>
      </c>
      <c r="T28" s="17">
        <f t="shared" si="11"/>
        <v>0</v>
      </c>
      <c r="U28" s="17">
        <f t="shared" si="11"/>
        <v>0</v>
      </c>
      <c r="V28" s="17">
        <f t="shared" si="11"/>
        <v>0</v>
      </c>
    </row>
    <row r="29" spans="1:42" ht="6" customHeight="1" x14ac:dyDescent="0.25">
      <c r="A29" s="65">
        <f t="shared" si="1"/>
        <v>26</v>
      </c>
    </row>
    <row r="30" spans="1:42" x14ac:dyDescent="0.25">
      <c r="A30" s="65">
        <f t="shared" si="1"/>
        <v>27</v>
      </c>
      <c r="B30" s="70" t="s">
        <v>362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</row>
    <row r="31" spans="1:42" x14ac:dyDescent="0.25">
      <c r="A31" s="65">
        <f t="shared" si="1"/>
        <v>28</v>
      </c>
      <c r="B31" s="135" t="s">
        <v>201</v>
      </c>
      <c r="C31" s="17">
        <f>'BASIC INPUT'!C70</f>
        <v>0</v>
      </c>
      <c r="D31" s="17">
        <f>+C36</f>
        <v>0</v>
      </c>
      <c r="E31" s="17">
        <f t="shared" ref="E31:V31" si="12">+D36</f>
        <v>0</v>
      </c>
      <c r="F31" s="17">
        <f t="shared" si="12"/>
        <v>0</v>
      </c>
      <c r="G31" s="17">
        <f t="shared" si="12"/>
        <v>0</v>
      </c>
      <c r="H31" s="17">
        <f t="shared" si="12"/>
        <v>0</v>
      </c>
      <c r="I31" s="17">
        <f t="shared" si="12"/>
        <v>0</v>
      </c>
      <c r="J31" s="17">
        <f t="shared" si="12"/>
        <v>0</v>
      </c>
      <c r="K31" s="17">
        <f t="shared" si="12"/>
        <v>0</v>
      </c>
      <c r="L31" s="17">
        <f t="shared" si="12"/>
        <v>0</v>
      </c>
      <c r="M31" s="17" t="e">
        <f t="shared" si="12"/>
        <v>#NUM!</v>
      </c>
      <c r="N31" s="17" t="e">
        <f t="shared" si="12"/>
        <v>#NUM!</v>
      </c>
      <c r="O31" s="17" t="e">
        <f t="shared" si="12"/>
        <v>#NUM!</v>
      </c>
      <c r="P31" s="17" t="e">
        <f t="shared" si="12"/>
        <v>#NUM!</v>
      </c>
      <c r="Q31" s="17" t="e">
        <f t="shared" si="12"/>
        <v>#NUM!</v>
      </c>
      <c r="R31" s="17" t="e">
        <f t="shared" si="12"/>
        <v>#NUM!</v>
      </c>
      <c r="S31" s="17" t="e">
        <f t="shared" si="12"/>
        <v>#NUM!</v>
      </c>
      <c r="T31" s="17" t="e">
        <f t="shared" si="12"/>
        <v>#NUM!</v>
      </c>
      <c r="U31" s="17" t="e">
        <f t="shared" si="12"/>
        <v>#NUM!</v>
      </c>
      <c r="V31" s="17" t="e">
        <f t="shared" si="12"/>
        <v>#NUM!</v>
      </c>
    </row>
    <row r="32" spans="1:42" x14ac:dyDescent="0.25">
      <c r="A32" s="102">
        <f>'BASIC INPUT'!C103</f>
        <v>0</v>
      </c>
      <c r="B32" s="135" t="str">
        <f>"Plus Interest at "&amp;TEXT('BASIC INPUT'!C103,"0.00%")</f>
        <v>Plus Interest at 0.00%</v>
      </c>
      <c r="C32" s="17">
        <f>ROUND(C31*$A$32,0)</f>
        <v>0</v>
      </c>
      <c r="D32" s="17">
        <f t="shared" ref="D32:V32" si="13">ROUND(D31*$A$32,0)</f>
        <v>0</v>
      </c>
      <c r="E32" s="17">
        <f t="shared" si="13"/>
        <v>0</v>
      </c>
      <c r="F32" s="17">
        <f t="shared" si="13"/>
        <v>0</v>
      </c>
      <c r="G32" s="17">
        <f t="shared" si="13"/>
        <v>0</v>
      </c>
      <c r="H32" s="17">
        <f t="shared" si="13"/>
        <v>0</v>
      </c>
      <c r="I32" s="17">
        <f t="shared" si="13"/>
        <v>0</v>
      </c>
      <c r="J32" s="17">
        <f t="shared" si="13"/>
        <v>0</v>
      </c>
      <c r="K32" s="17">
        <f t="shared" si="13"/>
        <v>0</v>
      </c>
      <c r="L32" s="17">
        <f t="shared" si="13"/>
        <v>0</v>
      </c>
      <c r="M32" s="17" t="e">
        <f t="shared" si="13"/>
        <v>#NUM!</v>
      </c>
      <c r="N32" s="17" t="e">
        <f t="shared" si="13"/>
        <v>#NUM!</v>
      </c>
      <c r="O32" s="17" t="e">
        <f t="shared" si="13"/>
        <v>#NUM!</v>
      </c>
      <c r="P32" s="17" t="e">
        <f t="shared" si="13"/>
        <v>#NUM!</v>
      </c>
      <c r="Q32" s="17" t="e">
        <f t="shared" si="13"/>
        <v>#NUM!</v>
      </c>
      <c r="R32" s="17" t="e">
        <f t="shared" si="13"/>
        <v>#NUM!</v>
      </c>
      <c r="S32" s="17" t="e">
        <f t="shared" si="13"/>
        <v>#NUM!</v>
      </c>
      <c r="T32" s="17" t="e">
        <f t="shared" si="13"/>
        <v>#NUM!</v>
      </c>
      <c r="U32" s="17" t="e">
        <f t="shared" si="13"/>
        <v>#NUM!</v>
      </c>
      <c r="V32" s="17" t="e">
        <f t="shared" si="13"/>
        <v>#NUM!</v>
      </c>
    </row>
    <row r="33" spans="1:22" x14ac:dyDescent="0.25">
      <c r="A33" s="65">
        <f t="shared" si="1"/>
        <v>30</v>
      </c>
      <c r="B33" s="135" t="s">
        <v>202</v>
      </c>
      <c r="C33" s="17">
        <f t="shared" ref="C33:V33" si="14">+-C28</f>
        <v>0</v>
      </c>
      <c r="D33" s="17">
        <f t="shared" si="14"/>
        <v>0</v>
      </c>
      <c r="E33" s="17">
        <f t="shared" si="14"/>
        <v>0</v>
      </c>
      <c r="F33" s="17">
        <f t="shared" si="14"/>
        <v>0</v>
      </c>
      <c r="G33" s="17">
        <f t="shared" si="14"/>
        <v>0</v>
      </c>
      <c r="H33" s="17">
        <f t="shared" si="14"/>
        <v>0</v>
      </c>
      <c r="I33" s="17">
        <f t="shared" si="14"/>
        <v>0</v>
      </c>
      <c r="J33" s="17">
        <f t="shared" si="14"/>
        <v>0</v>
      </c>
      <c r="K33" s="17">
        <f t="shared" si="14"/>
        <v>0</v>
      </c>
      <c r="L33" s="17">
        <f t="shared" si="14"/>
        <v>0</v>
      </c>
      <c r="M33" s="17">
        <f t="shared" si="14"/>
        <v>0</v>
      </c>
      <c r="N33" s="17">
        <f t="shared" si="14"/>
        <v>0</v>
      </c>
      <c r="O33" s="17">
        <f t="shared" si="14"/>
        <v>0</v>
      </c>
      <c r="P33" s="17">
        <f t="shared" si="14"/>
        <v>0</v>
      </c>
      <c r="Q33" s="17">
        <f t="shared" si="14"/>
        <v>0</v>
      </c>
      <c r="R33" s="17">
        <f t="shared" si="14"/>
        <v>0</v>
      </c>
      <c r="S33" s="17">
        <f t="shared" si="14"/>
        <v>0</v>
      </c>
      <c r="T33" s="17">
        <f t="shared" si="14"/>
        <v>0</v>
      </c>
      <c r="U33" s="17">
        <f t="shared" si="14"/>
        <v>0</v>
      </c>
      <c r="V33" s="17">
        <f t="shared" si="14"/>
        <v>0</v>
      </c>
    </row>
    <row r="34" spans="1:22" x14ac:dyDescent="0.25">
      <c r="A34" s="65"/>
      <c r="B34" s="135" t="s">
        <v>257</v>
      </c>
      <c r="L34" s="17" t="e">
        <f>-'BASIC INPUT'!C132</f>
        <v>#NUM!</v>
      </c>
      <c r="V34" s="17" t="e">
        <f>-'BASIC INPUT'!C151</f>
        <v>#NUM!</v>
      </c>
    </row>
    <row r="35" spans="1:22" x14ac:dyDescent="0.25">
      <c r="A35" s="65"/>
      <c r="B35" s="135" t="s">
        <v>256</v>
      </c>
      <c r="C35" s="17">
        <f>SUM(C33:C34)*-1</f>
        <v>0</v>
      </c>
      <c r="D35" s="17">
        <f t="shared" ref="D35:V35" si="15">SUM(D33:D34)*-1</f>
        <v>0</v>
      </c>
      <c r="E35" s="17">
        <f t="shared" si="15"/>
        <v>0</v>
      </c>
      <c r="F35" s="17">
        <f t="shared" si="15"/>
        <v>0</v>
      </c>
      <c r="G35" s="17">
        <f t="shared" si="15"/>
        <v>0</v>
      </c>
      <c r="H35" s="17">
        <f t="shared" si="15"/>
        <v>0</v>
      </c>
      <c r="I35" s="17">
        <f t="shared" si="15"/>
        <v>0</v>
      </c>
      <c r="J35" s="17">
        <f t="shared" si="15"/>
        <v>0</v>
      </c>
      <c r="K35" s="17">
        <f t="shared" si="15"/>
        <v>0</v>
      </c>
      <c r="L35" s="17" t="e">
        <f>SUM(L33:L34)*-1</f>
        <v>#NUM!</v>
      </c>
      <c r="M35" s="17">
        <f t="shared" si="15"/>
        <v>0</v>
      </c>
      <c r="N35" s="17">
        <f t="shared" si="15"/>
        <v>0</v>
      </c>
      <c r="O35" s="17">
        <f t="shared" si="15"/>
        <v>0</v>
      </c>
      <c r="P35" s="17">
        <f t="shared" si="15"/>
        <v>0</v>
      </c>
      <c r="Q35" s="17">
        <f t="shared" si="15"/>
        <v>0</v>
      </c>
      <c r="R35" s="17">
        <f t="shared" si="15"/>
        <v>0</v>
      </c>
      <c r="S35" s="17">
        <f t="shared" si="15"/>
        <v>0</v>
      </c>
      <c r="T35" s="17">
        <f t="shared" si="15"/>
        <v>0</v>
      </c>
      <c r="U35" s="17">
        <f t="shared" si="15"/>
        <v>0</v>
      </c>
      <c r="V35" s="17" t="e">
        <f t="shared" si="15"/>
        <v>#NUM!</v>
      </c>
    </row>
    <row r="36" spans="1:22" x14ac:dyDescent="0.25">
      <c r="A36" s="65">
        <f t="shared" si="1"/>
        <v>33</v>
      </c>
      <c r="B36" s="135" t="s">
        <v>203</v>
      </c>
      <c r="C36" s="17">
        <f>MAX(0,SUM(C31:C34))</f>
        <v>0</v>
      </c>
      <c r="D36" s="17">
        <f t="shared" ref="D36:V36" si="16">MAX(0,SUM(D31:D34))</f>
        <v>0</v>
      </c>
      <c r="E36" s="17">
        <f t="shared" si="16"/>
        <v>0</v>
      </c>
      <c r="F36" s="17">
        <f t="shared" si="16"/>
        <v>0</v>
      </c>
      <c r="G36" s="17">
        <f t="shared" si="16"/>
        <v>0</v>
      </c>
      <c r="H36" s="17">
        <f t="shared" si="16"/>
        <v>0</v>
      </c>
      <c r="I36" s="17">
        <f t="shared" si="16"/>
        <v>0</v>
      </c>
      <c r="J36" s="17">
        <f t="shared" si="16"/>
        <v>0</v>
      </c>
      <c r="K36" s="17">
        <f t="shared" si="16"/>
        <v>0</v>
      </c>
      <c r="L36" s="17" t="e">
        <f>MAX(0,SUM(L31:L34))</f>
        <v>#NUM!</v>
      </c>
      <c r="M36" s="17" t="e">
        <f t="shared" si="16"/>
        <v>#NUM!</v>
      </c>
      <c r="N36" s="17" t="e">
        <f t="shared" si="16"/>
        <v>#NUM!</v>
      </c>
      <c r="O36" s="17" t="e">
        <f t="shared" si="16"/>
        <v>#NUM!</v>
      </c>
      <c r="P36" s="17" t="e">
        <f t="shared" si="16"/>
        <v>#NUM!</v>
      </c>
      <c r="Q36" s="17" t="e">
        <f t="shared" si="16"/>
        <v>#NUM!</v>
      </c>
      <c r="R36" s="17" t="e">
        <f t="shared" si="16"/>
        <v>#NUM!</v>
      </c>
      <c r="S36" s="17" t="e">
        <f t="shared" si="16"/>
        <v>#NUM!</v>
      </c>
      <c r="T36" s="17" t="e">
        <f t="shared" si="16"/>
        <v>#NUM!</v>
      </c>
      <c r="U36" s="17" t="e">
        <f t="shared" si="16"/>
        <v>#NUM!</v>
      </c>
      <c r="V36" s="17" t="e">
        <f t="shared" si="16"/>
        <v>#NUM!</v>
      </c>
    </row>
    <row r="37" spans="1:22" x14ac:dyDescent="0.25">
      <c r="A37" s="65">
        <f t="shared" si="1"/>
        <v>34</v>
      </c>
    </row>
    <row r="38" spans="1:22" x14ac:dyDescent="0.25">
      <c r="A38" s="65">
        <f t="shared" si="1"/>
        <v>35</v>
      </c>
      <c r="B38" s="72"/>
      <c r="C38" s="73"/>
      <c r="E38" s="74"/>
    </row>
    <row r="39" spans="1:22" x14ac:dyDescent="0.25">
      <c r="A39" s="65">
        <f t="shared" si="1"/>
        <v>36</v>
      </c>
      <c r="B39" s="72"/>
    </row>
    <row r="40" spans="1:22" x14ac:dyDescent="0.25">
      <c r="A40" s="65">
        <f t="shared" si="1"/>
        <v>37</v>
      </c>
      <c r="B40" s="72" t="s">
        <v>391</v>
      </c>
      <c r="C40" s="17">
        <f>+C6-C9-C10</f>
        <v>0</v>
      </c>
      <c r="D40" s="17">
        <f t="shared" ref="D40:V40" si="17">+D6-D9-D10</f>
        <v>0</v>
      </c>
      <c r="E40" s="17">
        <f t="shared" si="17"/>
        <v>0</v>
      </c>
      <c r="F40" s="17">
        <f t="shared" si="17"/>
        <v>0</v>
      </c>
      <c r="G40" s="17">
        <f t="shared" si="17"/>
        <v>0</v>
      </c>
      <c r="H40" s="17">
        <f t="shared" si="17"/>
        <v>0</v>
      </c>
      <c r="I40" s="17">
        <f t="shared" si="17"/>
        <v>0</v>
      </c>
      <c r="J40" s="17">
        <f t="shared" si="17"/>
        <v>0</v>
      </c>
      <c r="K40" s="17">
        <f t="shared" si="17"/>
        <v>0</v>
      </c>
      <c r="L40" s="17">
        <f t="shared" si="17"/>
        <v>0</v>
      </c>
      <c r="M40" s="17">
        <f t="shared" si="17"/>
        <v>0</v>
      </c>
      <c r="N40" s="17">
        <f t="shared" si="17"/>
        <v>0</v>
      </c>
      <c r="O40" s="17">
        <f t="shared" si="17"/>
        <v>0</v>
      </c>
      <c r="P40" s="17">
        <f t="shared" si="17"/>
        <v>0</v>
      </c>
      <c r="Q40" s="17">
        <f t="shared" si="17"/>
        <v>0</v>
      </c>
      <c r="R40" s="17">
        <f t="shared" si="17"/>
        <v>0</v>
      </c>
      <c r="S40" s="17">
        <f t="shared" si="17"/>
        <v>0</v>
      </c>
      <c r="T40" s="17">
        <f t="shared" si="17"/>
        <v>0</v>
      </c>
      <c r="U40" s="17">
        <f t="shared" si="17"/>
        <v>0</v>
      </c>
      <c r="V40" s="17">
        <f t="shared" si="17"/>
        <v>0</v>
      </c>
    </row>
    <row r="41" spans="1:22" x14ac:dyDescent="0.25">
      <c r="A41" s="65">
        <f t="shared" si="1"/>
        <v>38</v>
      </c>
      <c r="B41" s="72" t="s">
        <v>145</v>
      </c>
      <c r="C41" s="17">
        <f>SUM(C40:V40)</f>
        <v>0</v>
      </c>
    </row>
    <row r="42" spans="1:22" x14ac:dyDescent="0.25">
      <c r="A42" s="65">
        <f t="shared" si="1"/>
        <v>39</v>
      </c>
    </row>
    <row r="43" spans="1:22" x14ac:dyDescent="0.25">
      <c r="A43" s="65">
        <f t="shared" si="1"/>
        <v>40</v>
      </c>
      <c r="B43" s="72" t="s">
        <v>392</v>
      </c>
      <c r="C43" s="17">
        <f>NPV('BASIC INPUT'!$C$155,PROFORMA!C40:V40)</f>
        <v>0</v>
      </c>
      <c r="D43" s="144" t="s">
        <v>393</v>
      </c>
      <c r="E43" s="144"/>
      <c r="F43" s="144"/>
      <c r="G43" s="144"/>
      <c r="H43" s="144"/>
      <c r="I43" s="144"/>
    </row>
    <row r="44" spans="1:22" x14ac:dyDescent="0.25">
      <c r="A44" s="65">
        <f t="shared" si="1"/>
        <v>41</v>
      </c>
      <c r="B44" s="72"/>
    </row>
    <row r="45" spans="1:22" x14ac:dyDescent="0.25">
      <c r="A45" s="65">
        <f t="shared" si="1"/>
        <v>42</v>
      </c>
      <c r="B45" s="72"/>
    </row>
    <row r="46" spans="1:22" x14ac:dyDescent="0.25">
      <c r="A46" s="65">
        <f t="shared" si="1"/>
        <v>43</v>
      </c>
      <c r="B46" s="72"/>
      <c r="C46" s="76"/>
    </row>
    <row r="47" spans="1:22" x14ac:dyDescent="0.25">
      <c r="A47" s="65">
        <f t="shared" si="1"/>
        <v>44</v>
      </c>
    </row>
  </sheetData>
  <sheetProtection algorithmName="SHA-512" hashValue="JBLzrDwRi5wGtcjI6G5Aor56tVH1vgPXEceRe/aF9WgOOUXFt7YhsvW+3DyZnyLFB5x7WmtmRct8wQFWG3xp3w==" saltValue="LSs2QUPhjSHoO9mHNRW5y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A3C3-93BD-421E-91C9-040659A52663}">
  <dimension ref="A1:CF38"/>
  <sheetViews>
    <sheetView topLeftCell="B1" workbookViewId="0">
      <selection activeCell="E27" sqref="E27"/>
    </sheetView>
  </sheetViews>
  <sheetFormatPr defaultRowHeight="15" x14ac:dyDescent="0.25"/>
  <cols>
    <col min="1" max="1" width="2.140625" customWidth="1"/>
    <col min="2" max="2" width="41.42578125" customWidth="1"/>
    <col min="3" max="3" width="12.7109375" customWidth="1"/>
    <col min="4" max="4" width="10.85546875" bestFit="1" customWidth="1"/>
    <col min="12" max="12" width="13.85546875" customWidth="1"/>
    <col min="22" max="22" width="13" customWidth="1"/>
    <col min="23" max="23" width="17.7109375" customWidth="1"/>
    <col min="42" max="42" width="15.42578125" customWidth="1"/>
    <col min="82" max="82" width="14.5703125" customWidth="1"/>
    <col min="83" max="83" width="15.7109375" customWidth="1"/>
    <col min="84" max="84" width="17.42578125" customWidth="1"/>
  </cols>
  <sheetData>
    <row r="1" spans="1:42" ht="21" x14ac:dyDescent="0.35">
      <c r="A1" s="62"/>
      <c r="B1" s="1" t="str">
        <f>'BASIC INPUT'!$B$1&amp;" -- NPV of CDBG Repayment"</f>
        <v>Middle Market Loan Program - Laura Delta Ida (MMLP-LDI) - REV for NOFA AMENDMENT #1 -- NPV of CDBG Repayment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62"/>
      <c r="B2" s="136">
        <f>'BASIC INPUT'!C4</f>
        <v>0</v>
      </c>
      <c r="C2" s="17"/>
      <c r="D2" s="63">
        <f>'BASIC INPUT'!C16</f>
        <v>0</v>
      </c>
      <c r="E2" s="2" t="s">
        <v>152</v>
      </c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6" customHeight="1" x14ac:dyDescent="0.25">
      <c r="A3" s="62"/>
      <c r="C3" s="64">
        <v>1</v>
      </c>
      <c r="D3" s="64">
        <f>+C3+1</f>
        <v>2</v>
      </c>
      <c r="E3" s="64">
        <f t="shared" ref="E3:AK3" si="0">+D3+1</f>
        <v>3</v>
      </c>
      <c r="F3" s="64">
        <f t="shared" si="0"/>
        <v>4</v>
      </c>
      <c r="G3" s="64">
        <f t="shared" si="0"/>
        <v>5</v>
      </c>
      <c r="H3" s="64">
        <f t="shared" si="0"/>
        <v>6</v>
      </c>
      <c r="I3" s="64">
        <f t="shared" si="0"/>
        <v>7</v>
      </c>
      <c r="J3" s="64">
        <f t="shared" si="0"/>
        <v>8</v>
      </c>
      <c r="K3" s="64">
        <f t="shared" si="0"/>
        <v>9</v>
      </c>
      <c r="L3" s="64">
        <f t="shared" si="0"/>
        <v>10</v>
      </c>
      <c r="M3" s="64">
        <f t="shared" si="0"/>
        <v>11</v>
      </c>
      <c r="N3" s="64">
        <f t="shared" si="0"/>
        <v>12</v>
      </c>
      <c r="O3" s="64">
        <f t="shared" si="0"/>
        <v>13</v>
      </c>
      <c r="P3" s="64">
        <f t="shared" si="0"/>
        <v>14</v>
      </c>
      <c r="Q3" s="64">
        <f t="shared" si="0"/>
        <v>15</v>
      </c>
      <c r="R3" s="64">
        <f t="shared" si="0"/>
        <v>16</v>
      </c>
      <c r="S3" s="64">
        <f t="shared" si="0"/>
        <v>17</v>
      </c>
      <c r="T3" s="64">
        <f t="shared" si="0"/>
        <v>18</v>
      </c>
      <c r="U3" s="64">
        <f t="shared" si="0"/>
        <v>19</v>
      </c>
      <c r="V3" s="64">
        <f t="shared" si="0"/>
        <v>20</v>
      </c>
      <c r="W3" s="64">
        <f t="shared" si="0"/>
        <v>21</v>
      </c>
      <c r="X3" s="64">
        <f t="shared" si="0"/>
        <v>22</v>
      </c>
      <c r="Y3" s="64">
        <f t="shared" si="0"/>
        <v>23</v>
      </c>
      <c r="Z3" s="64">
        <f t="shared" si="0"/>
        <v>24</v>
      </c>
      <c r="AA3" s="64">
        <f t="shared" si="0"/>
        <v>25</v>
      </c>
      <c r="AB3" s="64">
        <f t="shared" si="0"/>
        <v>26</v>
      </c>
      <c r="AC3" s="64">
        <f t="shared" si="0"/>
        <v>27</v>
      </c>
      <c r="AD3" s="64">
        <f t="shared" si="0"/>
        <v>28</v>
      </c>
      <c r="AE3" s="64">
        <f t="shared" si="0"/>
        <v>29</v>
      </c>
      <c r="AF3" s="64">
        <f t="shared" si="0"/>
        <v>30</v>
      </c>
      <c r="AG3" s="64">
        <f t="shared" si="0"/>
        <v>31</v>
      </c>
      <c r="AH3" s="64">
        <f t="shared" si="0"/>
        <v>32</v>
      </c>
      <c r="AI3" s="64">
        <f t="shared" si="0"/>
        <v>33</v>
      </c>
      <c r="AJ3" s="64">
        <f t="shared" si="0"/>
        <v>34</v>
      </c>
      <c r="AK3" s="64">
        <f t="shared" si="0"/>
        <v>35</v>
      </c>
      <c r="AL3" s="64">
        <f>+AK3+1</f>
        <v>36</v>
      </c>
      <c r="AM3" s="64">
        <f>+AL3+1</f>
        <v>37</v>
      </c>
      <c r="AN3" s="64">
        <f>+AM3+1</f>
        <v>38</v>
      </c>
      <c r="AO3" s="64">
        <f>+AN3+1</f>
        <v>39</v>
      </c>
      <c r="AP3" s="64">
        <f>+AO3+1</f>
        <v>40</v>
      </c>
    </row>
    <row r="4" spans="1:42" x14ac:dyDescent="0.25">
      <c r="A4" s="65">
        <f>ROW(A4)-3</f>
        <v>1</v>
      </c>
      <c r="B4" s="145" t="s">
        <v>399</v>
      </c>
      <c r="C4" s="66" t="s">
        <v>153</v>
      </c>
      <c r="D4" s="66" t="s">
        <v>154</v>
      </c>
      <c r="E4" s="66" t="s">
        <v>155</v>
      </c>
      <c r="F4" s="66" t="s">
        <v>156</v>
      </c>
      <c r="G4" s="66" t="s">
        <v>157</v>
      </c>
      <c r="H4" s="66" t="s">
        <v>158</v>
      </c>
      <c r="I4" s="66" t="s">
        <v>159</v>
      </c>
      <c r="J4" s="66" t="s">
        <v>160</v>
      </c>
      <c r="K4" s="66" t="s">
        <v>161</v>
      </c>
      <c r="L4" s="66" t="s">
        <v>162</v>
      </c>
      <c r="M4" s="66" t="s">
        <v>163</v>
      </c>
      <c r="N4" s="66" t="s">
        <v>164</v>
      </c>
      <c r="O4" s="66" t="s">
        <v>165</v>
      </c>
      <c r="P4" s="66" t="s">
        <v>166</v>
      </c>
      <c r="Q4" s="66" t="s">
        <v>167</v>
      </c>
      <c r="R4" s="66" t="s">
        <v>168</v>
      </c>
      <c r="S4" s="66" t="s">
        <v>169</v>
      </c>
      <c r="T4" s="66" t="s">
        <v>170</v>
      </c>
      <c r="U4" s="66" t="s">
        <v>171</v>
      </c>
      <c r="V4" s="66" t="s">
        <v>172</v>
      </c>
      <c r="W4" s="66" t="s">
        <v>145</v>
      </c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6" spans="1:42" x14ac:dyDescent="0.25">
      <c r="B6" t="s">
        <v>405</v>
      </c>
      <c r="C6" s="17">
        <f>+PROFORMA!C28</f>
        <v>0</v>
      </c>
      <c r="D6" s="17">
        <f>+PROFORMA!D28</f>
        <v>0</v>
      </c>
      <c r="E6" s="17">
        <f>+PROFORMA!E28</f>
        <v>0</v>
      </c>
      <c r="F6" s="17">
        <f>+PROFORMA!F28</f>
        <v>0</v>
      </c>
      <c r="G6" s="17">
        <f>+PROFORMA!G28</f>
        <v>0</v>
      </c>
      <c r="H6" s="17">
        <f>+PROFORMA!H28</f>
        <v>0</v>
      </c>
      <c r="I6" s="17">
        <f>+PROFORMA!I28</f>
        <v>0</v>
      </c>
      <c r="J6" s="17">
        <f>+PROFORMA!J28</f>
        <v>0</v>
      </c>
      <c r="K6" s="17">
        <f>+PROFORMA!K28</f>
        <v>0</v>
      </c>
      <c r="L6" s="17">
        <f>+PROFORMA!L28</f>
        <v>0</v>
      </c>
      <c r="M6" s="17">
        <f>+PROFORMA!M28</f>
        <v>0</v>
      </c>
      <c r="N6" s="17">
        <f>+PROFORMA!N28</f>
        <v>0</v>
      </c>
      <c r="O6" s="17">
        <f>+PROFORMA!O28</f>
        <v>0</v>
      </c>
      <c r="P6" s="17">
        <f>+PROFORMA!P28</f>
        <v>0</v>
      </c>
      <c r="Q6" s="17">
        <f>+PROFORMA!Q28</f>
        <v>0</v>
      </c>
      <c r="R6" s="17">
        <f>+PROFORMA!R28</f>
        <v>0</v>
      </c>
      <c r="S6" s="17">
        <f>+PROFORMA!S28</f>
        <v>0</v>
      </c>
      <c r="T6" s="17">
        <f>+PROFORMA!T28</f>
        <v>0</v>
      </c>
      <c r="U6" s="17">
        <f>+PROFORMA!U28</f>
        <v>0</v>
      </c>
      <c r="V6" s="17">
        <f>+PROFORMA!V28</f>
        <v>0</v>
      </c>
      <c r="W6" s="17">
        <f>SUM(C6:V6)</f>
        <v>0</v>
      </c>
    </row>
    <row r="7" spans="1:42" x14ac:dyDescent="0.25">
      <c r="B7" t="s">
        <v>406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 t="e">
        <f>-PROFORMA!L34</f>
        <v>#NUM!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 t="e">
        <f>SUM(C7:V7)</f>
        <v>#NUM!</v>
      </c>
    </row>
    <row r="8" spans="1:42" x14ac:dyDescent="0.25">
      <c r="B8" t="s">
        <v>407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 t="e">
        <f>-PROFORMA!V34</f>
        <v>#NUM!</v>
      </c>
      <c r="W8" s="17" t="e">
        <f>SUM(C8:V8)</f>
        <v>#NUM!</v>
      </c>
    </row>
    <row r="10" spans="1:42" x14ac:dyDescent="0.25">
      <c r="B10" t="s">
        <v>398</v>
      </c>
      <c r="C10" s="17">
        <f>+PROFORMA!C35</f>
        <v>0</v>
      </c>
      <c r="D10" s="17">
        <f>+PROFORMA!D35</f>
        <v>0</v>
      </c>
      <c r="E10" s="17">
        <f>+PROFORMA!E35</f>
        <v>0</v>
      </c>
      <c r="F10" s="17">
        <f>+PROFORMA!F35</f>
        <v>0</v>
      </c>
      <c r="G10" s="17">
        <f>+PROFORMA!G35</f>
        <v>0</v>
      </c>
      <c r="H10" s="17">
        <f>+PROFORMA!H35</f>
        <v>0</v>
      </c>
      <c r="I10" s="17">
        <f>+PROFORMA!I35</f>
        <v>0</v>
      </c>
      <c r="J10" s="17">
        <f>+PROFORMA!J35</f>
        <v>0</v>
      </c>
      <c r="K10" s="17">
        <f>+PROFORMA!K35</f>
        <v>0</v>
      </c>
      <c r="L10" s="17" t="e">
        <f>+PROFORMA!L35</f>
        <v>#NUM!</v>
      </c>
      <c r="M10" s="17">
        <f>+PROFORMA!M35</f>
        <v>0</v>
      </c>
      <c r="N10" s="17">
        <f>+PROFORMA!N35</f>
        <v>0</v>
      </c>
      <c r="O10" s="17">
        <f>+PROFORMA!O35</f>
        <v>0</v>
      </c>
      <c r="P10" s="17">
        <f>+PROFORMA!P35</f>
        <v>0</v>
      </c>
      <c r="Q10" s="17">
        <f>+PROFORMA!Q35</f>
        <v>0</v>
      </c>
      <c r="R10" s="17">
        <f>+PROFORMA!R35</f>
        <v>0</v>
      </c>
      <c r="S10" s="17">
        <f>+PROFORMA!S35</f>
        <v>0</v>
      </c>
      <c r="T10" s="17">
        <f>+PROFORMA!T35</f>
        <v>0</v>
      </c>
      <c r="U10" s="17">
        <f>+PROFORMA!U35</f>
        <v>0</v>
      </c>
      <c r="V10" s="17" t="e">
        <f>+PROFORMA!V35</f>
        <v>#NUM!</v>
      </c>
      <c r="W10" s="17" t="e">
        <f>SUM(C10:V10)</f>
        <v>#NUM!</v>
      </c>
    </row>
    <row r="12" spans="1:42" x14ac:dyDescent="0.25">
      <c r="B12" t="s">
        <v>408</v>
      </c>
      <c r="C12" s="67">
        <f>+'BASIC INPUT'!$C$155</f>
        <v>0.03</v>
      </c>
      <c r="D12" t="s">
        <v>409</v>
      </c>
    </row>
    <row r="13" spans="1:42" x14ac:dyDescent="0.25">
      <c r="C13" s="67"/>
    </row>
    <row r="14" spans="1:42" x14ac:dyDescent="0.25">
      <c r="C14" s="147"/>
    </row>
    <row r="15" spans="1:42" x14ac:dyDescent="0.25">
      <c r="B15" t="s">
        <v>411</v>
      </c>
      <c r="C15" s="147">
        <f>NPV(C$12,C6:V6)</f>
        <v>0</v>
      </c>
      <c r="D15" s="148" t="e">
        <f>+C15/W6</f>
        <v>#DIV/0!</v>
      </c>
      <c r="E15" t="s">
        <v>415</v>
      </c>
    </row>
    <row r="16" spans="1:42" x14ac:dyDescent="0.25">
      <c r="B16" t="s">
        <v>412</v>
      </c>
      <c r="C16" s="147" t="e">
        <f>NPV(C$12,C7:V7)</f>
        <v>#NUM!</v>
      </c>
      <c r="D16" s="148" t="e">
        <f>+C16/W7</f>
        <v>#NUM!</v>
      </c>
      <c r="E16" t="s">
        <v>415</v>
      </c>
    </row>
    <row r="17" spans="2:84" x14ac:dyDescent="0.25">
      <c r="B17" t="s">
        <v>413</v>
      </c>
      <c r="C17" s="147" t="e">
        <f>NPV(C$12,C8:V8)</f>
        <v>#NUM!</v>
      </c>
      <c r="D17" s="148" t="e">
        <f>+C17/W8</f>
        <v>#NUM!</v>
      </c>
      <c r="E17" t="s">
        <v>415</v>
      </c>
    </row>
    <row r="18" spans="2:84" x14ac:dyDescent="0.25">
      <c r="C18" s="67"/>
    </row>
    <row r="19" spans="2:84" x14ac:dyDescent="0.25">
      <c r="B19" t="s">
        <v>414</v>
      </c>
      <c r="C19" s="147" t="e">
        <f>NPV(C$12,C10:V10)</f>
        <v>#NUM!</v>
      </c>
      <c r="D19" s="148" t="e">
        <f>+C19/W10</f>
        <v>#NUM!</v>
      </c>
      <c r="E19" t="s">
        <v>415</v>
      </c>
    </row>
    <row r="21" spans="2:84" x14ac:dyDescent="0.25">
      <c r="C21" s="75">
        <v>1</v>
      </c>
      <c r="D21" s="17" cm="1">
        <f t="array" ref="D21">INDEX($C$6:$V$6,C21)</f>
        <v>0</v>
      </c>
      <c r="E21" s="75"/>
      <c r="F21" s="75"/>
      <c r="G21" s="75">
        <f>+C21+1</f>
        <v>2</v>
      </c>
      <c r="H21" s="17" cm="1">
        <f t="array" ref="H21">INDEX($C$6:$V$6,G21)</f>
        <v>0</v>
      </c>
      <c r="I21" s="75"/>
      <c r="J21" s="75"/>
      <c r="K21" s="75">
        <f>+G21+1</f>
        <v>3</v>
      </c>
      <c r="L21" s="17" cm="1">
        <f t="array" ref="L21">INDEX($C$6:$V$6,K21)</f>
        <v>0</v>
      </c>
      <c r="M21" s="75"/>
      <c r="N21" s="75"/>
      <c r="O21" s="75">
        <f>+K21+1</f>
        <v>4</v>
      </c>
      <c r="P21" s="17" cm="1">
        <f t="array" ref="P21">INDEX($C$6:$V$6,O21)</f>
        <v>0</v>
      </c>
      <c r="Q21" s="75"/>
      <c r="R21" s="75"/>
      <c r="S21" s="75">
        <f>+O21+1</f>
        <v>5</v>
      </c>
      <c r="T21" s="17" cm="1">
        <f t="array" ref="T21">INDEX($C$6:$V$6,S21)</f>
        <v>0</v>
      </c>
      <c r="U21" s="75"/>
      <c r="V21" s="75"/>
      <c r="W21" s="75">
        <f>+S21+1</f>
        <v>6</v>
      </c>
      <c r="X21" s="17" cm="1">
        <f t="array" ref="X21">INDEX($C$6:$V$6,W21)</f>
        <v>0</v>
      </c>
      <c r="Y21" s="75"/>
      <c r="Z21" s="75"/>
      <c r="AA21" s="75">
        <f>+W21+1</f>
        <v>7</v>
      </c>
      <c r="AB21" s="17" cm="1">
        <f t="array" ref="AB21">INDEX($C$6:$V$6,AA21)</f>
        <v>0</v>
      </c>
      <c r="AC21" s="75"/>
      <c r="AD21" s="75"/>
      <c r="AE21" s="75">
        <f>+AA21+1</f>
        <v>8</v>
      </c>
      <c r="AF21" s="17" cm="1">
        <f t="array" ref="AF21">INDEX($C$6:$V$6,AE21)</f>
        <v>0</v>
      </c>
      <c r="AG21" s="75"/>
      <c r="AH21" s="75"/>
      <c r="AI21" s="75">
        <f>+AE21+1</f>
        <v>9</v>
      </c>
      <c r="AJ21" s="17" cm="1">
        <f t="array" ref="AJ21">INDEX($C$6:$V$6,AI21)</f>
        <v>0</v>
      </c>
      <c r="AK21" s="75"/>
      <c r="AL21" s="75"/>
      <c r="AM21" s="75">
        <f>+AI21+1</f>
        <v>10</v>
      </c>
      <c r="AN21" s="17" cm="1">
        <f t="array" ref="AN21">INDEX($C$6:$V$6,AM21)</f>
        <v>0</v>
      </c>
      <c r="AO21" s="75"/>
      <c r="AP21" s="75"/>
      <c r="AQ21" s="75">
        <f>+AM21+1</f>
        <v>11</v>
      </c>
      <c r="AR21" s="17" cm="1">
        <f t="array" ref="AR21">INDEX($C$6:$V$6,AQ21)</f>
        <v>0</v>
      </c>
      <c r="AS21" s="75"/>
      <c r="AT21" s="75"/>
      <c r="AU21" s="75">
        <f>+AQ21+1</f>
        <v>12</v>
      </c>
      <c r="AV21" s="17" cm="1">
        <f t="array" ref="AV21">INDEX($C$6:$V$6,AU21)</f>
        <v>0</v>
      </c>
      <c r="AW21" s="75"/>
      <c r="AX21" s="75"/>
      <c r="AY21" s="75">
        <f>+AU21+1</f>
        <v>13</v>
      </c>
      <c r="AZ21" s="17" cm="1">
        <f t="array" ref="AZ21">INDEX($C$6:$V$6,AY21)</f>
        <v>0</v>
      </c>
      <c r="BA21" s="75"/>
      <c r="BB21" s="75"/>
      <c r="BC21" s="75">
        <f>+AY21+1</f>
        <v>14</v>
      </c>
      <c r="BD21" s="17" cm="1">
        <f t="array" ref="BD21">INDEX($C$6:$V$6,BC21)</f>
        <v>0</v>
      </c>
      <c r="BE21" s="75"/>
      <c r="BF21" s="75"/>
      <c r="BG21" s="75">
        <f>+BC21+1</f>
        <v>15</v>
      </c>
      <c r="BH21" s="17" cm="1">
        <f t="array" ref="BH21">INDEX($C$6:$V$6,BG21)</f>
        <v>0</v>
      </c>
      <c r="BI21" s="75"/>
      <c r="BJ21" s="75"/>
      <c r="BK21" s="75">
        <f>+BG21+1</f>
        <v>16</v>
      </c>
      <c r="BL21" s="17" cm="1">
        <f t="array" ref="BL21">INDEX($C$6:$V$6,BK21)</f>
        <v>0</v>
      </c>
      <c r="BM21" s="75"/>
      <c r="BN21" s="75"/>
      <c r="BO21" s="75">
        <f>+BK21+1</f>
        <v>17</v>
      </c>
      <c r="BP21" s="17" cm="1">
        <f t="array" ref="BP21">INDEX($C$6:$V$6,BO21)</f>
        <v>0</v>
      </c>
      <c r="BQ21" s="75"/>
      <c r="BR21" s="75"/>
      <c r="BS21" s="75">
        <f>+BO21+1</f>
        <v>18</v>
      </c>
      <c r="BT21" s="17" cm="1">
        <f t="array" ref="BT21">INDEX($C$6:$V$6,BS21)</f>
        <v>0</v>
      </c>
      <c r="BU21" s="75"/>
      <c r="BV21" s="75"/>
      <c r="BW21" s="75">
        <f>+BS21+1</f>
        <v>19</v>
      </c>
      <c r="BX21" s="17" cm="1">
        <f t="array" ref="BX21">INDEX($C$6:$V$6,BW21)</f>
        <v>0</v>
      </c>
      <c r="BY21" s="75"/>
      <c r="BZ21" s="75"/>
      <c r="CA21" s="75">
        <f>+BW21+1</f>
        <v>20</v>
      </c>
      <c r="CB21" s="17" cm="1">
        <f t="array" ref="CB21">INDEX($C$6:$V$6,CA21)</f>
        <v>0</v>
      </c>
      <c r="CC21" s="75"/>
      <c r="CD21" s="75"/>
    </row>
    <row r="22" spans="2:84" x14ac:dyDescent="0.25">
      <c r="C22" s="187" t="str">
        <f>"Year "&amp;C21</f>
        <v>Year 1</v>
      </c>
      <c r="D22" s="188"/>
      <c r="E22" s="188"/>
      <c r="F22" s="189"/>
      <c r="G22" s="187" t="str">
        <f>"Year "&amp;G21</f>
        <v>Year 2</v>
      </c>
      <c r="H22" s="188"/>
      <c r="I22" s="188"/>
      <c r="J22" s="189"/>
      <c r="K22" s="187" t="str">
        <f>"Year "&amp;K21</f>
        <v>Year 3</v>
      </c>
      <c r="L22" s="188"/>
      <c r="M22" s="188"/>
      <c r="N22" s="189"/>
      <c r="O22" s="187" t="str">
        <f>"Year "&amp;O21</f>
        <v>Year 4</v>
      </c>
      <c r="P22" s="188"/>
      <c r="Q22" s="188"/>
      <c r="R22" s="189"/>
      <c r="S22" s="187" t="str">
        <f>"Year "&amp;S21</f>
        <v>Year 5</v>
      </c>
      <c r="T22" s="188"/>
      <c r="U22" s="188"/>
      <c r="V22" s="189"/>
      <c r="W22" s="187" t="str">
        <f>"Year "&amp;W21</f>
        <v>Year 6</v>
      </c>
      <c r="X22" s="188"/>
      <c r="Y22" s="188"/>
      <c r="Z22" s="189"/>
      <c r="AA22" s="187" t="str">
        <f>"Year "&amp;AA21</f>
        <v>Year 7</v>
      </c>
      <c r="AB22" s="188"/>
      <c r="AC22" s="188"/>
      <c r="AD22" s="189"/>
      <c r="AE22" s="187" t="str">
        <f>"Year "&amp;AE21</f>
        <v>Year 8</v>
      </c>
      <c r="AF22" s="188"/>
      <c r="AG22" s="188"/>
      <c r="AH22" s="189"/>
      <c r="AI22" s="187" t="str">
        <f>"Year "&amp;AI21</f>
        <v>Year 9</v>
      </c>
      <c r="AJ22" s="188"/>
      <c r="AK22" s="188"/>
      <c r="AL22" s="189"/>
      <c r="AM22" s="187" t="str">
        <f>"Year "&amp;AM21</f>
        <v>Year 10</v>
      </c>
      <c r="AN22" s="188"/>
      <c r="AO22" s="188"/>
      <c r="AP22" s="189"/>
      <c r="AQ22" s="187" t="str">
        <f>"Year "&amp;AQ21</f>
        <v>Year 11</v>
      </c>
      <c r="AR22" s="188"/>
      <c r="AS22" s="188"/>
      <c r="AT22" s="189"/>
      <c r="AU22" s="187" t="str">
        <f>"Year "&amp;AU21</f>
        <v>Year 12</v>
      </c>
      <c r="AV22" s="188"/>
      <c r="AW22" s="188"/>
      <c r="AX22" s="189"/>
      <c r="AY22" s="187" t="str">
        <f>"Year "&amp;AY21</f>
        <v>Year 13</v>
      </c>
      <c r="AZ22" s="188"/>
      <c r="BA22" s="188"/>
      <c r="BB22" s="189"/>
      <c r="BC22" s="187" t="str">
        <f>"Year "&amp;BC21</f>
        <v>Year 14</v>
      </c>
      <c r="BD22" s="188"/>
      <c r="BE22" s="188"/>
      <c r="BF22" s="189"/>
      <c r="BG22" s="187" t="str">
        <f>"Year "&amp;BG21</f>
        <v>Year 15</v>
      </c>
      <c r="BH22" s="188"/>
      <c r="BI22" s="188"/>
      <c r="BJ22" s="189"/>
      <c r="BK22" s="187" t="str">
        <f>"Year "&amp;BK21</f>
        <v>Year 16</v>
      </c>
      <c r="BL22" s="188"/>
      <c r="BM22" s="188"/>
      <c r="BN22" s="189"/>
      <c r="BO22" s="187" t="str">
        <f>"Year "&amp;BO21</f>
        <v>Year 17</v>
      </c>
      <c r="BP22" s="188"/>
      <c r="BQ22" s="188"/>
      <c r="BR22" s="189"/>
      <c r="BS22" s="187" t="str">
        <f>"Year "&amp;BS21</f>
        <v>Year 18</v>
      </c>
      <c r="BT22" s="188"/>
      <c r="BU22" s="188"/>
      <c r="BV22" s="189"/>
      <c r="BW22" s="187" t="str">
        <f>"Year "&amp;BW21</f>
        <v>Year 19</v>
      </c>
      <c r="BX22" s="188"/>
      <c r="BY22" s="188"/>
      <c r="BZ22" s="189"/>
      <c r="CA22" s="187" t="str">
        <f>"Year "&amp;CA21</f>
        <v>Year 20</v>
      </c>
      <c r="CB22" s="188"/>
      <c r="CC22" s="188"/>
      <c r="CD22" s="189"/>
    </row>
    <row r="23" spans="2:84" x14ac:dyDescent="0.25">
      <c r="B23" s="145" t="s">
        <v>400</v>
      </c>
      <c r="C23" s="146" t="s">
        <v>401</v>
      </c>
      <c r="D23" s="146" t="s">
        <v>402</v>
      </c>
      <c r="E23" s="146" t="s">
        <v>403</v>
      </c>
      <c r="F23" s="146" t="s">
        <v>404</v>
      </c>
      <c r="G23" s="146" t="s">
        <v>401</v>
      </c>
      <c r="H23" s="146" t="s">
        <v>402</v>
      </c>
      <c r="I23" s="146" t="s">
        <v>403</v>
      </c>
      <c r="J23" s="146" t="s">
        <v>404</v>
      </c>
      <c r="K23" s="146" t="s">
        <v>401</v>
      </c>
      <c r="L23" s="146" t="s">
        <v>402</v>
      </c>
      <c r="M23" s="146" t="s">
        <v>403</v>
      </c>
      <c r="N23" s="146" t="s">
        <v>404</v>
      </c>
      <c r="O23" s="146" t="s">
        <v>401</v>
      </c>
      <c r="P23" s="146" t="s">
        <v>402</v>
      </c>
      <c r="Q23" s="146" t="s">
        <v>403</v>
      </c>
      <c r="R23" s="146" t="s">
        <v>404</v>
      </c>
      <c r="S23" s="146" t="s">
        <v>401</v>
      </c>
      <c r="T23" s="146" t="s">
        <v>402</v>
      </c>
      <c r="U23" s="146" t="s">
        <v>403</v>
      </c>
      <c r="V23" s="146" t="s">
        <v>404</v>
      </c>
      <c r="W23" s="146" t="s">
        <v>401</v>
      </c>
      <c r="X23" s="146" t="s">
        <v>402</v>
      </c>
      <c r="Y23" s="146" t="s">
        <v>403</v>
      </c>
      <c r="Z23" s="146" t="s">
        <v>404</v>
      </c>
      <c r="AA23" s="146" t="s">
        <v>401</v>
      </c>
      <c r="AB23" s="146" t="s">
        <v>402</v>
      </c>
      <c r="AC23" s="146" t="s">
        <v>403</v>
      </c>
      <c r="AD23" s="146" t="s">
        <v>404</v>
      </c>
      <c r="AE23" s="146" t="s">
        <v>401</v>
      </c>
      <c r="AF23" s="146" t="s">
        <v>402</v>
      </c>
      <c r="AG23" s="146" t="s">
        <v>403</v>
      </c>
      <c r="AH23" s="146" t="s">
        <v>404</v>
      </c>
      <c r="AI23" s="146" t="s">
        <v>401</v>
      </c>
      <c r="AJ23" s="146" t="s">
        <v>402</v>
      </c>
      <c r="AK23" s="146" t="s">
        <v>403</v>
      </c>
      <c r="AL23" s="146" t="s">
        <v>404</v>
      </c>
      <c r="AM23" s="146" t="s">
        <v>401</v>
      </c>
      <c r="AN23" s="146" t="s">
        <v>402</v>
      </c>
      <c r="AO23" s="146" t="s">
        <v>403</v>
      </c>
      <c r="AP23" s="146" t="s">
        <v>404</v>
      </c>
      <c r="AQ23" s="146" t="s">
        <v>401</v>
      </c>
      <c r="AR23" s="146" t="s">
        <v>402</v>
      </c>
      <c r="AS23" s="146" t="s">
        <v>403</v>
      </c>
      <c r="AT23" s="146" t="s">
        <v>404</v>
      </c>
      <c r="AU23" s="146" t="s">
        <v>401</v>
      </c>
      <c r="AV23" s="146" t="s">
        <v>402</v>
      </c>
      <c r="AW23" s="146" t="s">
        <v>403</v>
      </c>
      <c r="AX23" s="146" t="s">
        <v>404</v>
      </c>
      <c r="AY23" s="146" t="s">
        <v>401</v>
      </c>
      <c r="AZ23" s="146" t="s">
        <v>402</v>
      </c>
      <c r="BA23" s="146" t="s">
        <v>403</v>
      </c>
      <c r="BB23" s="146" t="s">
        <v>404</v>
      </c>
      <c r="BC23" s="146" t="s">
        <v>401</v>
      </c>
      <c r="BD23" s="146" t="s">
        <v>402</v>
      </c>
      <c r="BE23" s="146" t="s">
        <v>403</v>
      </c>
      <c r="BF23" s="146" t="s">
        <v>404</v>
      </c>
      <c r="BG23" s="146" t="s">
        <v>401</v>
      </c>
      <c r="BH23" s="146" t="s">
        <v>402</v>
      </c>
      <c r="BI23" s="146" t="s">
        <v>403</v>
      </c>
      <c r="BJ23" s="146" t="s">
        <v>404</v>
      </c>
      <c r="BK23" s="146" t="s">
        <v>401</v>
      </c>
      <c r="BL23" s="146" t="s">
        <v>402</v>
      </c>
      <c r="BM23" s="146" t="s">
        <v>403</v>
      </c>
      <c r="BN23" s="146" t="s">
        <v>404</v>
      </c>
      <c r="BO23" s="146" t="s">
        <v>401</v>
      </c>
      <c r="BP23" s="146" t="s">
        <v>402</v>
      </c>
      <c r="BQ23" s="146" t="s">
        <v>403</v>
      </c>
      <c r="BR23" s="146" t="s">
        <v>404</v>
      </c>
      <c r="BS23" s="146" t="s">
        <v>401</v>
      </c>
      <c r="BT23" s="146" t="s">
        <v>402</v>
      </c>
      <c r="BU23" s="146" t="s">
        <v>403</v>
      </c>
      <c r="BV23" s="146" t="s">
        <v>404</v>
      </c>
      <c r="BW23" s="146" t="s">
        <v>401</v>
      </c>
      <c r="BX23" s="146" t="s">
        <v>402</v>
      </c>
      <c r="BY23" s="146" t="s">
        <v>403</v>
      </c>
      <c r="BZ23" s="146" t="s">
        <v>404</v>
      </c>
      <c r="CA23" s="146" t="s">
        <v>401</v>
      </c>
      <c r="CB23" s="146" t="s">
        <v>402</v>
      </c>
      <c r="CC23" s="146" t="s">
        <v>403</v>
      </c>
      <c r="CD23" s="146" t="s">
        <v>404</v>
      </c>
      <c r="CE23" s="146" t="s">
        <v>145</v>
      </c>
    </row>
    <row r="25" spans="2:84" x14ac:dyDescent="0.25">
      <c r="B25" t="s">
        <v>405</v>
      </c>
      <c r="C25" s="17">
        <f>ROUND(D21/4,0)</f>
        <v>0</v>
      </c>
      <c r="D25" s="17">
        <f>+C25</f>
        <v>0</v>
      </c>
      <c r="E25" s="17">
        <f>+D25</f>
        <v>0</v>
      </c>
      <c r="F25" s="17">
        <f>+D21-E25-D25-C25</f>
        <v>0</v>
      </c>
      <c r="G25" s="17">
        <f>ROUND(H21/4,0)</f>
        <v>0</v>
      </c>
      <c r="H25" s="17">
        <f>+G25</f>
        <v>0</v>
      </c>
      <c r="I25" s="17">
        <f>+H25</f>
        <v>0</v>
      </c>
      <c r="J25" s="17">
        <f>+H21-I25-H25-G25</f>
        <v>0</v>
      </c>
      <c r="K25" s="17">
        <f>ROUND(L21/4,0)</f>
        <v>0</v>
      </c>
      <c r="L25" s="17">
        <f>+K25</f>
        <v>0</v>
      </c>
      <c r="M25" s="17">
        <f>+L25</f>
        <v>0</v>
      </c>
      <c r="N25" s="17">
        <f>+L21-M25-L25-K25</f>
        <v>0</v>
      </c>
      <c r="O25" s="17">
        <f>ROUND(P21/4,0)</f>
        <v>0</v>
      </c>
      <c r="P25" s="17">
        <f>+O25</f>
        <v>0</v>
      </c>
      <c r="Q25" s="17">
        <f>+P25</f>
        <v>0</v>
      </c>
      <c r="R25" s="17">
        <f>+P21-Q25-P25-O25</f>
        <v>0</v>
      </c>
      <c r="S25" s="17">
        <f>ROUND(T21/4,0)</f>
        <v>0</v>
      </c>
      <c r="T25" s="17">
        <f>+S25</f>
        <v>0</v>
      </c>
      <c r="U25" s="17">
        <f>+T25</f>
        <v>0</v>
      </c>
      <c r="V25" s="17">
        <f>+T21-U25-T25-S25</f>
        <v>0</v>
      </c>
      <c r="W25" s="17">
        <f>ROUND(X21/4,0)</f>
        <v>0</v>
      </c>
      <c r="X25" s="17">
        <f>+W25</f>
        <v>0</v>
      </c>
      <c r="Y25" s="17">
        <f>+X25</f>
        <v>0</v>
      </c>
      <c r="Z25" s="17">
        <f>+X21-Y25-X25-W25</f>
        <v>0</v>
      </c>
      <c r="AA25" s="17">
        <f>ROUND(AB21/4,0)</f>
        <v>0</v>
      </c>
      <c r="AB25" s="17">
        <f>+AA25</f>
        <v>0</v>
      </c>
      <c r="AC25" s="17">
        <f>+AB25</f>
        <v>0</v>
      </c>
      <c r="AD25" s="17">
        <f>+AB21-AC25-AB25-AA25</f>
        <v>0</v>
      </c>
      <c r="AE25" s="17">
        <f>ROUND(AF21/4,0)</f>
        <v>0</v>
      </c>
      <c r="AF25" s="17">
        <f>+AE25</f>
        <v>0</v>
      </c>
      <c r="AG25" s="17">
        <f>+AF25</f>
        <v>0</v>
      </c>
      <c r="AH25" s="17">
        <f>+AF21-AG25-AF25-AE25</f>
        <v>0</v>
      </c>
      <c r="AI25" s="17">
        <f>ROUND(AJ21/4,0)</f>
        <v>0</v>
      </c>
      <c r="AJ25" s="17">
        <f>+AI25</f>
        <v>0</v>
      </c>
      <c r="AK25" s="17">
        <f>+AJ25</f>
        <v>0</v>
      </c>
      <c r="AL25" s="17">
        <f>+AJ21-AK25-AJ25-AI25</f>
        <v>0</v>
      </c>
      <c r="AM25" s="17">
        <f>ROUND(AN21/4,0)</f>
        <v>0</v>
      </c>
      <c r="AN25" s="17">
        <f>+AM25</f>
        <v>0</v>
      </c>
      <c r="AO25" s="17">
        <f>+AN25</f>
        <v>0</v>
      </c>
      <c r="AP25" s="17">
        <f>+AN21-AO25-AN25-AM25</f>
        <v>0</v>
      </c>
      <c r="AQ25" s="17">
        <f>ROUND(AR21/4,0)</f>
        <v>0</v>
      </c>
      <c r="AR25" s="17">
        <f>+AQ25</f>
        <v>0</v>
      </c>
      <c r="AS25" s="17">
        <f>+AR25</f>
        <v>0</v>
      </c>
      <c r="AT25" s="17">
        <f>+AR21-AS25-AR25-AQ25</f>
        <v>0</v>
      </c>
      <c r="AU25" s="17">
        <f>ROUND(AV21/4,0)</f>
        <v>0</v>
      </c>
      <c r="AV25" s="17">
        <f>+AU25</f>
        <v>0</v>
      </c>
      <c r="AW25" s="17">
        <f>+AV25</f>
        <v>0</v>
      </c>
      <c r="AX25" s="17">
        <f>+AV21-AW25-AV25-AU25</f>
        <v>0</v>
      </c>
      <c r="AY25" s="17">
        <f>ROUND(AZ21/4,0)</f>
        <v>0</v>
      </c>
      <c r="AZ25" s="17">
        <f>+AY25</f>
        <v>0</v>
      </c>
      <c r="BA25" s="17">
        <f>+AZ25</f>
        <v>0</v>
      </c>
      <c r="BB25" s="17">
        <f>+AZ21-BA25-AZ25-AY25</f>
        <v>0</v>
      </c>
      <c r="BC25" s="17">
        <f>ROUND(BD21/4,0)</f>
        <v>0</v>
      </c>
      <c r="BD25" s="17">
        <f>+BC25</f>
        <v>0</v>
      </c>
      <c r="BE25" s="17">
        <f>+BD25</f>
        <v>0</v>
      </c>
      <c r="BF25" s="17">
        <f>+BD21-BE25-BD25-BC25</f>
        <v>0</v>
      </c>
      <c r="BG25" s="17">
        <f>ROUND(BH21/4,0)</f>
        <v>0</v>
      </c>
      <c r="BH25" s="17">
        <f>+BG25</f>
        <v>0</v>
      </c>
      <c r="BI25" s="17">
        <f>+BH25</f>
        <v>0</v>
      </c>
      <c r="BJ25" s="17">
        <f>+BH21-BI25-BH25-BG25</f>
        <v>0</v>
      </c>
      <c r="BK25" s="17">
        <f>ROUND(BL21/4,0)</f>
        <v>0</v>
      </c>
      <c r="BL25" s="17">
        <f>+BK25</f>
        <v>0</v>
      </c>
      <c r="BM25" s="17">
        <f>+BL25</f>
        <v>0</v>
      </c>
      <c r="BN25" s="17">
        <f>+BL21-BM25-BL25-BK25</f>
        <v>0</v>
      </c>
      <c r="BO25" s="17">
        <f>ROUND(BP21/4,0)</f>
        <v>0</v>
      </c>
      <c r="BP25" s="17">
        <f>+BO25</f>
        <v>0</v>
      </c>
      <c r="BQ25" s="17">
        <f>+BP25</f>
        <v>0</v>
      </c>
      <c r="BR25" s="17">
        <f>+BP21-BQ25-BP25-BO25</f>
        <v>0</v>
      </c>
      <c r="BS25" s="17">
        <f>ROUND(BT21/4,0)</f>
        <v>0</v>
      </c>
      <c r="BT25" s="17">
        <f>+BS25</f>
        <v>0</v>
      </c>
      <c r="BU25" s="17">
        <f>+BT25</f>
        <v>0</v>
      </c>
      <c r="BV25" s="17">
        <f>+BT21-BU25-BT25-BS25</f>
        <v>0</v>
      </c>
      <c r="BW25" s="17">
        <f>ROUND(BX21/4,0)</f>
        <v>0</v>
      </c>
      <c r="BX25" s="17">
        <f>+BW25</f>
        <v>0</v>
      </c>
      <c r="BY25" s="17">
        <f>+BX25</f>
        <v>0</v>
      </c>
      <c r="BZ25" s="17">
        <f>+BX21-BY25-BX25-BW25</f>
        <v>0</v>
      </c>
      <c r="CA25" s="17">
        <f>ROUND(CB21/4,0)</f>
        <v>0</v>
      </c>
      <c r="CB25" s="17">
        <f>+CA25</f>
        <v>0</v>
      </c>
      <c r="CC25" s="17">
        <f>+CB25</f>
        <v>0</v>
      </c>
      <c r="CD25" s="17">
        <f>+CB21-CC25-CB25-CA25</f>
        <v>0</v>
      </c>
      <c r="CE25" s="17">
        <f>SUM(C25:CD25)</f>
        <v>0</v>
      </c>
      <c r="CF25" s="17">
        <f>+W6</f>
        <v>0</v>
      </c>
    </row>
    <row r="26" spans="2:84" x14ac:dyDescent="0.25">
      <c r="B26" t="s">
        <v>406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 t="e">
        <f>+L7</f>
        <v>#NUM!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 t="e">
        <f>SUM(C26:CD26)</f>
        <v>#NUM!</v>
      </c>
      <c r="CF26" s="17" t="e">
        <f>+W7</f>
        <v>#NUM!</v>
      </c>
    </row>
    <row r="27" spans="2:84" x14ac:dyDescent="0.25">
      <c r="B27" t="s">
        <v>407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 t="e">
        <f>+V8</f>
        <v>#NUM!</v>
      </c>
      <c r="CE27" s="17" t="e">
        <f>SUM(C27:CD27)</f>
        <v>#NUM!</v>
      </c>
      <c r="CF27" s="17" t="e">
        <f>+W8</f>
        <v>#NUM!</v>
      </c>
    </row>
    <row r="28" spans="2:84" x14ac:dyDescent="0.2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2:84" x14ac:dyDescent="0.25">
      <c r="B29" t="s">
        <v>398</v>
      </c>
      <c r="C29" s="17">
        <f>SUM(C24:C28)</f>
        <v>0</v>
      </c>
      <c r="D29" s="17">
        <f t="shared" ref="D29:BO29" si="1">SUM(D24:D28)</f>
        <v>0</v>
      </c>
      <c r="E29" s="17">
        <f t="shared" si="1"/>
        <v>0</v>
      </c>
      <c r="F29" s="17">
        <f t="shared" si="1"/>
        <v>0</v>
      </c>
      <c r="G29" s="17">
        <f t="shared" si="1"/>
        <v>0</v>
      </c>
      <c r="H29" s="17">
        <f t="shared" si="1"/>
        <v>0</v>
      </c>
      <c r="I29" s="17">
        <f t="shared" si="1"/>
        <v>0</v>
      </c>
      <c r="J29" s="17">
        <f t="shared" si="1"/>
        <v>0</v>
      </c>
      <c r="K29" s="17">
        <f t="shared" si="1"/>
        <v>0</v>
      </c>
      <c r="L29" s="17">
        <f t="shared" si="1"/>
        <v>0</v>
      </c>
      <c r="M29" s="17">
        <f t="shared" si="1"/>
        <v>0</v>
      </c>
      <c r="N29" s="17">
        <f t="shared" si="1"/>
        <v>0</v>
      </c>
      <c r="O29" s="17">
        <f t="shared" si="1"/>
        <v>0</v>
      </c>
      <c r="P29" s="17">
        <f t="shared" si="1"/>
        <v>0</v>
      </c>
      <c r="Q29" s="17">
        <f t="shared" si="1"/>
        <v>0</v>
      </c>
      <c r="R29" s="17">
        <f t="shared" si="1"/>
        <v>0</v>
      </c>
      <c r="S29" s="17">
        <f t="shared" si="1"/>
        <v>0</v>
      </c>
      <c r="T29" s="17">
        <f t="shared" si="1"/>
        <v>0</v>
      </c>
      <c r="U29" s="17">
        <f t="shared" si="1"/>
        <v>0</v>
      </c>
      <c r="V29" s="17">
        <f t="shared" si="1"/>
        <v>0</v>
      </c>
      <c r="W29" s="17">
        <f t="shared" si="1"/>
        <v>0</v>
      </c>
      <c r="X29" s="17">
        <f t="shared" si="1"/>
        <v>0</v>
      </c>
      <c r="Y29" s="17">
        <f t="shared" si="1"/>
        <v>0</v>
      </c>
      <c r="Z29" s="17">
        <f t="shared" si="1"/>
        <v>0</v>
      </c>
      <c r="AA29" s="17">
        <f t="shared" si="1"/>
        <v>0</v>
      </c>
      <c r="AB29" s="17">
        <f t="shared" si="1"/>
        <v>0</v>
      </c>
      <c r="AC29" s="17">
        <f t="shared" si="1"/>
        <v>0</v>
      </c>
      <c r="AD29" s="17">
        <f t="shared" si="1"/>
        <v>0</v>
      </c>
      <c r="AE29" s="17">
        <f t="shared" si="1"/>
        <v>0</v>
      </c>
      <c r="AF29" s="17">
        <f t="shared" si="1"/>
        <v>0</v>
      </c>
      <c r="AG29" s="17">
        <f t="shared" si="1"/>
        <v>0</v>
      </c>
      <c r="AH29" s="17">
        <f t="shared" si="1"/>
        <v>0</v>
      </c>
      <c r="AI29" s="17">
        <f t="shared" si="1"/>
        <v>0</v>
      </c>
      <c r="AJ29" s="17">
        <f t="shared" si="1"/>
        <v>0</v>
      </c>
      <c r="AK29" s="17">
        <f t="shared" si="1"/>
        <v>0</v>
      </c>
      <c r="AL29" s="17">
        <f t="shared" si="1"/>
        <v>0</v>
      </c>
      <c r="AM29" s="17">
        <f t="shared" si="1"/>
        <v>0</v>
      </c>
      <c r="AN29" s="17">
        <f t="shared" si="1"/>
        <v>0</v>
      </c>
      <c r="AO29" s="17">
        <f t="shared" si="1"/>
        <v>0</v>
      </c>
      <c r="AP29" s="17" t="e">
        <f t="shared" si="1"/>
        <v>#NUM!</v>
      </c>
      <c r="AQ29" s="17">
        <f t="shared" si="1"/>
        <v>0</v>
      </c>
      <c r="AR29" s="17">
        <f t="shared" si="1"/>
        <v>0</v>
      </c>
      <c r="AS29" s="17">
        <f t="shared" si="1"/>
        <v>0</v>
      </c>
      <c r="AT29" s="17">
        <f t="shared" si="1"/>
        <v>0</v>
      </c>
      <c r="AU29" s="17">
        <f t="shared" si="1"/>
        <v>0</v>
      </c>
      <c r="AV29" s="17">
        <f t="shared" si="1"/>
        <v>0</v>
      </c>
      <c r="AW29" s="17">
        <f t="shared" si="1"/>
        <v>0</v>
      </c>
      <c r="AX29" s="17">
        <f t="shared" si="1"/>
        <v>0</v>
      </c>
      <c r="AY29" s="17">
        <f t="shared" si="1"/>
        <v>0</v>
      </c>
      <c r="AZ29" s="17">
        <f t="shared" si="1"/>
        <v>0</v>
      </c>
      <c r="BA29" s="17">
        <f t="shared" si="1"/>
        <v>0</v>
      </c>
      <c r="BB29" s="17">
        <f t="shared" si="1"/>
        <v>0</v>
      </c>
      <c r="BC29" s="17">
        <f t="shared" si="1"/>
        <v>0</v>
      </c>
      <c r="BD29" s="17">
        <f t="shared" si="1"/>
        <v>0</v>
      </c>
      <c r="BE29" s="17">
        <f t="shared" si="1"/>
        <v>0</v>
      </c>
      <c r="BF29" s="17">
        <f t="shared" si="1"/>
        <v>0</v>
      </c>
      <c r="BG29" s="17">
        <f t="shared" si="1"/>
        <v>0</v>
      </c>
      <c r="BH29" s="17">
        <f t="shared" si="1"/>
        <v>0</v>
      </c>
      <c r="BI29" s="17">
        <f t="shared" si="1"/>
        <v>0</v>
      </c>
      <c r="BJ29" s="17">
        <f t="shared" si="1"/>
        <v>0</v>
      </c>
      <c r="BK29" s="17">
        <f t="shared" si="1"/>
        <v>0</v>
      </c>
      <c r="BL29" s="17">
        <f t="shared" si="1"/>
        <v>0</v>
      </c>
      <c r="BM29" s="17">
        <f t="shared" si="1"/>
        <v>0</v>
      </c>
      <c r="BN29" s="17">
        <f t="shared" si="1"/>
        <v>0</v>
      </c>
      <c r="BO29" s="17">
        <f t="shared" si="1"/>
        <v>0</v>
      </c>
      <c r="BP29" s="17">
        <f t="shared" ref="BP29:CD29" si="2">SUM(BP24:BP28)</f>
        <v>0</v>
      </c>
      <c r="BQ29" s="17">
        <f t="shared" si="2"/>
        <v>0</v>
      </c>
      <c r="BR29" s="17">
        <f t="shared" si="2"/>
        <v>0</v>
      </c>
      <c r="BS29" s="17">
        <f t="shared" si="2"/>
        <v>0</v>
      </c>
      <c r="BT29" s="17">
        <f t="shared" si="2"/>
        <v>0</v>
      </c>
      <c r="BU29" s="17">
        <f t="shared" si="2"/>
        <v>0</v>
      </c>
      <c r="BV29" s="17">
        <f t="shared" si="2"/>
        <v>0</v>
      </c>
      <c r="BW29" s="17">
        <f t="shared" si="2"/>
        <v>0</v>
      </c>
      <c r="BX29" s="17">
        <f t="shared" si="2"/>
        <v>0</v>
      </c>
      <c r="BY29" s="17">
        <f t="shared" si="2"/>
        <v>0</v>
      </c>
      <c r="BZ29" s="17">
        <f t="shared" si="2"/>
        <v>0</v>
      </c>
      <c r="CA29" s="17">
        <f t="shared" si="2"/>
        <v>0</v>
      </c>
      <c r="CB29" s="17">
        <f t="shared" si="2"/>
        <v>0</v>
      </c>
      <c r="CC29" s="17">
        <f t="shared" si="2"/>
        <v>0</v>
      </c>
      <c r="CD29" s="17" t="e">
        <f t="shared" si="2"/>
        <v>#NUM!</v>
      </c>
      <c r="CE29" s="17" t="e">
        <f>SUM(C29:CD29)</f>
        <v>#NUM!</v>
      </c>
      <c r="CF29" s="17" t="e">
        <f>+W10</f>
        <v>#NUM!</v>
      </c>
    </row>
    <row r="30" spans="2:84" x14ac:dyDescent="0.25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2:84" x14ac:dyDescent="0.25">
      <c r="B31" t="s">
        <v>408</v>
      </c>
      <c r="C31" s="67">
        <f>+'BASIC INPUT'!$C$155/4</f>
        <v>7.4999999999999997E-3</v>
      </c>
      <c r="D31" t="s">
        <v>410</v>
      </c>
    </row>
    <row r="32" spans="2:84" x14ac:dyDescent="0.25">
      <c r="C32" s="67"/>
    </row>
    <row r="33" spans="2:5" x14ac:dyDescent="0.25">
      <c r="B33" t="s">
        <v>438</v>
      </c>
      <c r="C33" s="17" t="e">
        <f>CF29</f>
        <v>#NUM!</v>
      </c>
    </row>
    <row r="34" spans="2:5" x14ac:dyDescent="0.25">
      <c r="B34" t="s">
        <v>411</v>
      </c>
      <c r="C34" s="147">
        <f>NPV(C$31,C25:CD25)</f>
        <v>0</v>
      </c>
      <c r="D34" s="148" t="e">
        <f>+C34/CE25</f>
        <v>#DIV/0!</v>
      </c>
      <c r="E34" t="s">
        <v>415</v>
      </c>
    </row>
    <row r="35" spans="2:5" x14ac:dyDescent="0.25">
      <c r="B35" t="s">
        <v>412</v>
      </c>
      <c r="C35" s="147" t="e">
        <f>NPV(C$31,C26:CD26)</f>
        <v>#NUM!</v>
      </c>
      <c r="D35" s="148" t="e">
        <f>+C35/CE26</f>
        <v>#NUM!</v>
      </c>
      <c r="E35" t="s">
        <v>415</v>
      </c>
    </row>
    <row r="36" spans="2:5" x14ac:dyDescent="0.25">
      <c r="B36" t="s">
        <v>413</v>
      </c>
      <c r="C36" s="147" t="e">
        <f>NPV(C$31,C27:CD27)</f>
        <v>#NUM!</v>
      </c>
      <c r="D36" s="148" t="e">
        <f>+C36/CE27</f>
        <v>#NUM!</v>
      </c>
      <c r="E36" t="s">
        <v>415</v>
      </c>
    </row>
    <row r="37" spans="2:5" x14ac:dyDescent="0.25">
      <c r="C37" s="67"/>
    </row>
    <row r="38" spans="2:5" x14ac:dyDescent="0.25">
      <c r="B38" t="s">
        <v>414</v>
      </c>
      <c r="C38" s="147" t="e">
        <f>NPV(C31,C29:CD29)</f>
        <v>#NUM!</v>
      </c>
      <c r="D38" s="148" t="e">
        <f>+C38/CE29</f>
        <v>#NUM!</v>
      </c>
      <c r="E38" t="s">
        <v>415</v>
      </c>
    </row>
  </sheetData>
  <mergeCells count="20">
    <mergeCell ref="AU22:AX22"/>
    <mergeCell ref="C22:F22"/>
    <mergeCell ref="G22:J22"/>
    <mergeCell ref="K22:N22"/>
    <mergeCell ref="O22:R22"/>
    <mergeCell ref="S22:V22"/>
    <mergeCell ref="W22:Z22"/>
    <mergeCell ref="AA22:AD22"/>
    <mergeCell ref="AE22:AH22"/>
    <mergeCell ref="AI22:AL22"/>
    <mergeCell ref="AM22:AP22"/>
    <mergeCell ref="AQ22:AT22"/>
    <mergeCell ref="BW22:BZ22"/>
    <mergeCell ref="CA22:CD22"/>
    <mergeCell ref="AY22:BB22"/>
    <mergeCell ref="BC22:BF22"/>
    <mergeCell ref="BG22:BJ22"/>
    <mergeCell ref="BK22:BN22"/>
    <mergeCell ref="BO22:BR22"/>
    <mergeCell ref="BS22:BV22"/>
  </mergeCells>
  <phoneticPr fontId="17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93A7-4191-4BD7-A1D8-0EF2FA2E043D}">
  <dimension ref="A1:W77"/>
  <sheetViews>
    <sheetView topLeftCell="A4" workbookViewId="0">
      <selection activeCell="D5" sqref="D5"/>
    </sheetView>
  </sheetViews>
  <sheetFormatPr defaultRowHeight="15" x14ac:dyDescent="0.25"/>
  <cols>
    <col min="1" max="1" width="38.28515625" customWidth="1"/>
    <col min="2" max="3" width="18.5703125" customWidth="1"/>
    <col min="4" max="4" width="10" customWidth="1"/>
    <col min="5" max="5" width="0" hidden="1" customWidth="1"/>
    <col min="6" max="6" width="7.85546875" hidden="1" customWidth="1"/>
    <col min="12" max="12" width="9.28515625" customWidth="1"/>
    <col min="22" max="22" width="45.28515625" customWidth="1"/>
    <col min="23" max="23" width="14.7109375" customWidth="1"/>
  </cols>
  <sheetData>
    <row r="1" spans="1:23" s="2" customFormat="1" ht="21" x14ac:dyDescent="0.35">
      <c r="A1" s="1" t="str">
        <f>+'BASIC INPUT'!$B$1</f>
        <v>Middle Market Loan Program - Laura Delta Ida (MMLP-LDI) - REV for NOFA AMENDMENT #1</v>
      </c>
      <c r="B1" s="1"/>
      <c r="C1" s="1"/>
      <c r="G1" s="3">
        <f>COLUMN(G1)</f>
        <v>7</v>
      </c>
      <c r="H1" s="3">
        <f t="shared" ref="H1:W1" si="0">COLUMN(H1)</f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  <c r="T1" s="3">
        <f t="shared" si="0"/>
        <v>20</v>
      </c>
      <c r="U1" s="3">
        <f t="shared" si="0"/>
        <v>21</v>
      </c>
      <c r="V1" s="3">
        <f t="shared" si="0"/>
        <v>22</v>
      </c>
      <c r="W1" s="3">
        <f t="shared" si="0"/>
        <v>23</v>
      </c>
    </row>
    <row r="2" spans="1:23" s="2" customFormat="1" ht="21" x14ac:dyDescent="0.35">
      <c r="A2" s="2" t="s">
        <v>7</v>
      </c>
      <c r="E2" s="4"/>
      <c r="F2" s="4"/>
      <c r="G2" s="4"/>
      <c r="H2" s="4"/>
    </row>
    <row r="3" spans="1:23" x14ac:dyDescent="0.25">
      <c r="G3" s="190" t="s">
        <v>8</v>
      </c>
      <c r="H3" s="190"/>
      <c r="I3" s="190"/>
      <c r="J3" s="190"/>
      <c r="K3" s="190"/>
      <c r="L3" s="191" t="s">
        <v>9</v>
      </c>
      <c r="M3" s="191"/>
      <c r="N3" s="191"/>
      <c r="O3" s="191"/>
      <c r="P3" s="191"/>
      <c r="Q3" s="192" t="s">
        <v>10</v>
      </c>
      <c r="R3" s="192"/>
      <c r="S3" s="192"/>
      <c r="T3" s="192"/>
      <c r="U3" s="192"/>
    </row>
    <row r="4" spans="1:23" ht="45" x14ac:dyDescent="0.25">
      <c r="A4" s="8" t="s">
        <v>11</v>
      </c>
      <c r="B4" s="8" t="s">
        <v>12</v>
      </c>
      <c r="C4" s="8" t="s">
        <v>13</v>
      </c>
      <c r="D4" s="9" t="s">
        <v>445</v>
      </c>
      <c r="E4" s="9" t="s">
        <v>14</v>
      </c>
      <c r="F4" s="9" t="s">
        <v>15</v>
      </c>
      <c r="G4" s="5" t="s">
        <v>0</v>
      </c>
      <c r="H4" s="5" t="s">
        <v>1</v>
      </c>
      <c r="I4" s="5" t="s">
        <v>2</v>
      </c>
      <c r="J4" s="5" t="s">
        <v>3</v>
      </c>
      <c r="K4" s="5" t="s">
        <v>4</v>
      </c>
      <c r="L4" s="6" t="s">
        <v>0</v>
      </c>
      <c r="M4" s="6" t="s">
        <v>1</v>
      </c>
      <c r="N4" s="6" t="s">
        <v>2</v>
      </c>
      <c r="O4" s="6" t="s">
        <v>3</v>
      </c>
      <c r="P4" s="6" t="s">
        <v>4</v>
      </c>
      <c r="Q4" s="7" t="s">
        <v>0</v>
      </c>
      <c r="R4" s="7" t="s">
        <v>1</v>
      </c>
      <c r="S4" s="7" t="s">
        <v>2</v>
      </c>
      <c r="T4" s="7" t="s">
        <v>3</v>
      </c>
      <c r="U4" s="7" t="s">
        <v>4</v>
      </c>
      <c r="V4" s="10" t="s">
        <v>16</v>
      </c>
      <c r="W4" s="11" t="s">
        <v>17</v>
      </c>
    </row>
    <row r="5" spans="1:23" x14ac:dyDescent="0.25">
      <c r="A5" t="s">
        <v>18</v>
      </c>
      <c r="W5" s="12"/>
    </row>
    <row r="6" spans="1:23" x14ac:dyDescent="0.25">
      <c r="A6" t="s">
        <v>19</v>
      </c>
      <c r="B6" t="s">
        <v>20</v>
      </c>
      <c r="C6" t="s">
        <v>21</v>
      </c>
      <c r="D6" s="13">
        <v>33350</v>
      </c>
      <c r="E6" s="14" t="s">
        <v>21</v>
      </c>
      <c r="F6" s="14" t="s">
        <v>21</v>
      </c>
      <c r="G6" s="15">
        <v>510</v>
      </c>
      <c r="H6" s="15">
        <v>580</v>
      </c>
      <c r="I6" s="15">
        <v>763</v>
      </c>
      <c r="J6" s="15">
        <v>1007</v>
      </c>
      <c r="K6" s="15">
        <v>1098</v>
      </c>
      <c r="L6" s="16">
        <v>492</v>
      </c>
      <c r="M6" s="16">
        <v>529</v>
      </c>
      <c r="N6" s="16">
        <v>696</v>
      </c>
      <c r="O6" s="16">
        <v>819</v>
      </c>
      <c r="P6" s="16">
        <v>913</v>
      </c>
      <c r="Q6" s="16">
        <v>492</v>
      </c>
      <c r="R6" s="16">
        <v>529</v>
      </c>
      <c r="S6" s="16">
        <v>696</v>
      </c>
      <c r="T6" s="16">
        <v>980</v>
      </c>
      <c r="U6" s="16">
        <v>1049</v>
      </c>
      <c r="V6" t="s">
        <v>22</v>
      </c>
      <c r="W6" s="12" t="s">
        <v>23</v>
      </c>
    </row>
    <row r="7" spans="1:23" x14ac:dyDescent="0.25">
      <c r="A7" t="s">
        <v>24</v>
      </c>
      <c r="B7" t="s">
        <v>25</v>
      </c>
      <c r="C7" t="s">
        <v>21</v>
      </c>
      <c r="D7" s="13">
        <v>32800</v>
      </c>
      <c r="E7" s="14" t="s">
        <v>21</v>
      </c>
      <c r="F7" s="14" t="s">
        <v>26</v>
      </c>
      <c r="G7" s="15">
        <v>567</v>
      </c>
      <c r="H7" s="15">
        <v>587</v>
      </c>
      <c r="I7" s="15">
        <v>740</v>
      </c>
      <c r="J7" s="15">
        <v>962</v>
      </c>
      <c r="K7" s="15">
        <v>1120</v>
      </c>
      <c r="L7" s="16">
        <v>529</v>
      </c>
      <c r="M7" s="16">
        <v>532</v>
      </c>
      <c r="N7" s="16">
        <v>696</v>
      </c>
      <c r="O7" s="16">
        <v>828</v>
      </c>
      <c r="P7" s="16">
        <v>923</v>
      </c>
      <c r="Q7" s="16">
        <v>529</v>
      </c>
      <c r="R7" s="16">
        <v>532</v>
      </c>
      <c r="S7" s="16">
        <v>696</v>
      </c>
      <c r="T7" s="16">
        <v>947</v>
      </c>
      <c r="U7" s="16">
        <v>1061</v>
      </c>
      <c r="W7" s="12" t="s">
        <v>27</v>
      </c>
    </row>
    <row r="8" spans="1:23" x14ac:dyDescent="0.25">
      <c r="A8" t="s">
        <v>28</v>
      </c>
      <c r="D8" s="13">
        <v>42150</v>
      </c>
      <c r="E8" s="14" t="s">
        <v>21</v>
      </c>
      <c r="F8" s="14" t="s">
        <v>21</v>
      </c>
      <c r="G8" s="15">
        <v>859</v>
      </c>
      <c r="H8" s="15">
        <v>876</v>
      </c>
      <c r="I8" s="15">
        <v>1005</v>
      </c>
      <c r="J8" s="15">
        <v>1266</v>
      </c>
      <c r="K8" s="15">
        <v>1644</v>
      </c>
      <c r="L8" s="16">
        <v>744</v>
      </c>
      <c r="M8" s="16">
        <v>781</v>
      </c>
      <c r="N8" s="16">
        <v>917</v>
      </c>
      <c r="O8" s="16">
        <v>1153</v>
      </c>
      <c r="P8" s="16">
        <v>1286</v>
      </c>
      <c r="Q8" s="16">
        <v>744</v>
      </c>
      <c r="R8" s="16">
        <v>781</v>
      </c>
      <c r="S8" s="16">
        <v>917</v>
      </c>
      <c r="T8" s="16">
        <v>1161</v>
      </c>
      <c r="U8" s="16">
        <v>1447</v>
      </c>
      <c r="V8" t="s">
        <v>29</v>
      </c>
      <c r="W8" s="12" t="s">
        <v>30</v>
      </c>
    </row>
    <row r="9" spans="1:23" x14ac:dyDescent="0.25">
      <c r="A9" t="s">
        <v>31</v>
      </c>
      <c r="D9" s="13">
        <v>35300</v>
      </c>
      <c r="E9" s="14" t="s">
        <v>26</v>
      </c>
      <c r="F9" s="14" t="s">
        <v>26</v>
      </c>
      <c r="G9" s="15">
        <v>707</v>
      </c>
      <c r="H9" s="15">
        <v>729</v>
      </c>
      <c r="I9" s="15">
        <v>823</v>
      </c>
      <c r="J9" s="15">
        <v>1141</v>
      </c>
      <c r="K9" s="15">
        <v>1345</v>
      </c>
      <c r="L9" s="16">
        <v>583</v>
      </c>
      <c r="M9" s="16">
        <v>625</v>
      </c>
      <c r="N9" s="16">
        <v>738</v>
      </c>
      <c r="O9" s="16">
        <v>867</v>
      </c>
      <c r="P9" s="16">
        <v>967</v>
      </c>
      <c r="Q9" s="16">
        <v>601</v>
      </c>
      <c r="R9" s="16">
        <v>648</v>
      </c>
      <c r="S9" s="16">
        <v>738</v>
      </c>
      <c r="T9" s="16">
        <v>1019</v>
      </c>
      <c r="U9" s="16">
        <v>1158</v>
      </c>
      <c r="W9" s="12" t="s">
        <v>23</v>
      </c>
    </row>
    <row r="10" spans="1:23" x14ac:dyDescent="0.25">
      <c r="A10" t="s">
        <v>32</v>
      </c>
      <c r="D10" s="13">
        <v>28950</v>
      </c>
      <c r="E10" s="14" t="s">
        <v>21</v>
      </c>
      <c r="F10" s="14" t="s">
        <v>26</v>
      </c>
      <c r="G10" s="15">
        <v>583</v>
      </c>
      <c r="H10" s="15">
        <v>587</v>
      </c>
      <c r="I10" s="15">
        <v>773</v>
      </c>
      <c r="J10" s="15">
        <v>1011</v>
      </c>
      <c r="K10" s="15">
        <v>1097</v>
      </c>
      <c r="L10" s="16">
        <v>471</v>
      </c>
      <c r="M10" s="16">
        <v>531</v>
      </c>
      <c r="N10" s="16">
        <v>637</v>
      </c>
      <c r="O10" s="16">
        <v>736</v>
      </c>
      <c r="P10" s="16">
        <v>821</v>
      </c>
      <c r="Q10" s="16">
        <v>471</v>
      </c>
      <c r="R10" s="16">
        <v>539</v>
      </c>
      <c r="S10" s="16">
        <v>709</v>
      </c>
      <c r="T10" s="16">
        <v>918</v>
      </c>
      <c r="U10" s="16">
        <v>1010</v>
      </c>
      <c r="W10" s="12" t="s">
        <v>33</v>
      </c>
    </row>
    <row r="11" spans="1:23" x14ac:dyDescent="0.25">
      <c r="A11" t="s">
        <v>34</v>
      </c>
      <c r="B11" t="s">
        <v>35</v>
      </c>
      <c r="C11" t="s">
        <v>21</v>
      </c>
      <c r="D11" s="13">
        <v>38350</v>
      </c>
      <c r="E11" s="14" t="s">
        <v>21</v>
      </c>
      <c r="F11" s="14" t="s">
        <v>26</v>
      </c>
      <c r="G11" s="15">
        <v>677</v>
      </c>
      <c r="H11" s="15">
        <v>689</v>
      </c>
      <c r="I11" s="15">
        <v>782</v>
      </c>
      <c r="J11" s="15">
        <v>1060</v>
      </c>
      <c r="K11" s="15">
        <v>1332</v>
      </c>
      <c r="L11" s="16">
        <v>600</v>
      </c>
      <c r="M11" s="16">
        <v>611</v>
      </c>
      <c r="N11" s="16">
        <v>696</v>
      </c>
      <c r="O11" s="16">
        <v>942</v>
      </c>
      <c r="P11" s="16">
        <v>1051</v>
      </c>
      <c r="Q11" s="16">
        <v>600</v>
      </c>
      <c r="R11" s="16">
        <v>611</v>
      </c>
      <c r="S11" s="16">
        <v>696</v>
      </c>
      <c r="T11" s="16">
        <v>959</v>
      </c>
      <c r="U11" s="16">
        <v>1191</v>
      </c>
      <c r="W11" s="12" t="s">
        <v>27</v>
      </c>
    </row>
    <row r="12" spans="1:23" x14ac:dyDescent="0.25">
      <c r="A12" t="s">
        <v>36</v>
      </c>
      <c r="D12" s="13">
        <v>28650</v>
      </c>
      <c r="E12" s="14" t="s">
        <v>21</v>
      </c>
      <c r="F12" s="14" t="s">
        <v>26</v>
      </c>
      <c r="G12" s="15">
        <v>567</v>
      </c>
      <c r="H12" s="15">
        <v>655</v>
      </c>
      <c r="I12" s="15">
        <v>740</v>
      </c>
      <c r="J12" s="15">
        <v>1052</v>
      </c>
      <c r="K12" s="15">
        <v>1230</v>
      </c>
      <c r="L12" s="16">
        <v>473</v>
      </c>
      <c r="M12" s="16">
        <v>507</v>
      </c>
      <c r="N12" s="16">
        <v>608</v>
      </c>
      <c r="O12" s="16">
        <v>703</v>
      </c>
      <c r="P12" s="16">
        <v>785</v>
      </c>
      <c r="Q12" s="16">
        <v>529</v>
      </c>
      <c r="R12" s="16">
        <v>611</v>
      </c>
      <c r="S12" s="16">
        <v>696</v>
      </c>
      <c r="T12" s="16">
        <v>880</v>
      </c>
      <c r="U12" s="16">
        <v>963</v>
      </c>
      <c r="W12" s="12" t="s">
        <v>37</v>
      </c>
    </row>
    <row r="13" spans="1:23" x14ac:dyDescent="0.25">
      <c r="A13" t="s">
        <v>38</v>
      </c>
      <c r="D13" s="13">
        <v>34650</v>
      </c>
      <c r="E13" s="14" t="s">
        <v>21</v>
      </c>
      <c r="F13" s="14" t="s">
        <v>26</v>
      </c>
      <c r="G13" s="15">
        <v>708</v>
      </c>
      <c r="H13" s="15">
        <v>857</v>
      </c>
      <c r="I13" s="15">
        <v>1009</v>
      </c>
      <c r="J13" s="15">
        <v>1258</v>
      </c>
      <c r="K13" s="15">
        <v>1389</v>
      </c>
      <c r="L13" s="16">
        <v>573</v>
      </c>
      <c r="M13" s="16">
        <v>614</v>
      </c>
      <c r="N13" s="16">
        <v>737</v>
      </c>
      <c r="O13" s="16">
        <v>851</v>
      </c>
      <c r="P13" s="16">
        <v>950</v>
      </c>
      <c r="Q13" s="16">
        <v>632</v>
      </c>
      <c r="R13" s="16">
        <v>756</v>
      </c>
      <c r="S13" s="16">
        <v>897</v>
      </c>
      <c r="T13" s="16">
        <v>1074</v>
      </c>
      <c r="U13" s="16">
        <v>1179</v>
      </c>
      <c r="V13" t="s">
        <v>39</v>
      </c>
      <c r="W13" s="12" t="s">
        <v>37</v>
      </c>
    </row>
    <row r="14" spans="1:23" x14ac:dyDescent="0.25">
      <c r="A14" t="s">
        <v>40</v>
      </c>
      <c r="B14" t="s">
        <v>41</v>
      </c>
      <c r="C14" t="s">
        <v>26</v>
      </c>
      <c r="D14" s="13">
        <v>34650</v>
      </c>
      <c r="E14" s="14" t="s">
        <v>21</v>
      </c>
      <c r="F14" s="14" t="s">
        <v>26</v>
      </c>
      <c r="G14" s="15">
        <v>708</v>
      </c>
      <c r="H14" s="15">
        <v>857</v>
      </c>
      <c r="I14" s="15">
        <v>1009</v>
      </c>
      <c r="J14" s="15">
        <v>1258</v>
      </c>
      <c r="K14" s="15">
        <v>1389</v>
      </c>
      <c r="L14" s="16">
        <v>573</v>
      </c>
      <c r="M14" s="16">
        <v>614</v>
      </c>
      <c r="N14" s="16">
        <v>737</v>
      </c>
      <c r="O14" s="16">
        <v>851</v>
      </c>
      <c r="P14" s="16">
        <v>950</v>
      </c>
      <c r="Q14" s="16">
        <v>632</v>
      </c>
      <c r="R14" s="16">
        <v>756</v>
      </c>
      <c r="S14" s="16">
        <v>897</v>
      </c>
      <c r="T14" s="16">
        <v>1074</v>
      </c>
      <c r="U14" s="16">
        <v>1179</v>
      </c>
      <c r="V14" t="s">
        <v>39</v>
      </c>
      <c r="W14" s="12" t="s">
        <v>37</v>
      </c>
    </row>
    <row r="15" spans="1:23" x14ac:dyDescent="0.25">
      <c r="A15" t="s">
        <v>42</v>
      </c>
      <c r="B15" t="s">
        <v>43</v>
      </c>
      <c r="C15" t="s">
        <v>26</v>
      </c>
      <c r="D15" s="13">
        <v>38250</v>
      </c>
      <c r="E15" s="14" t="s">
        <v>21</v>
      </c>
      <c r="F15" s="14" t="s">
        <v>26</v>
      </c>
      <c r="G15" s="15">
        <v>756</v>
      </c>
      <c r="H15" s="15">
        <v>767</v>
      </c>
      <c r="I15" s="15">
        <v>983</v>
      </c>
      <c r="J15" s="15">
        <v>1235</v>
      </c>
      <c r="K15" s="15">
        <v>1322</v>
      </c>
      <c r="L15" s="16">
        <v>633</v>
      </c>
      <c r="M15" s="16">
        <v>678</v>
      </c>
      <c r="N15" s="16">
        <v>813</v>
      </c>
      <c r="O15" s="16">
        <v>940</v>
      </c>
      <c r="P15" s="16">
        <v>1048</v>
      </c>
      <c r="Q15" s="16">
        <v>660</v>
      </c>
      <c r="R15" s="16">
        <v>688</v>
      </c>
      <c r="S15" s="16">
        <v>884</v>
      </c>
      <c r="T15" s="16">
        <v>1107</v>
      </c>
      <c r="U15" s="16">
        <v>1241</v>
      </c>
      <c r="V15" t="s">
        <v>44</v>
      </c>
      <c r="W15" s="12" t="s">
        <v>27</v>
      </c>
    </row>
    <row r="16" spans="1:23" x14ac:dyDescent="0.25">
      <c r="A16" t="s">
        <v>45</v>
      </c>
      <c r="D16" s="13">
        <v>28650</v>
      </c>
      <c r="E16" s="14" t="s">
        <v>21</v>
      </c>
      <c r="F16" s="14" t="s">
        <v>26</v>
      </c>
      <c r="G16" s="15">
        <v>670</v>
      </c>
      <c r="H16" s="15">
        <v>675</v>
      </c>
      <c r="I16" s="15">
        <v>888</v>
      </c>
      <c r="J16" s="15">
        <v>1081</v>
      </c>
      <c r="K16" s="15">
        <v>1193</v>
      </c>
      <c r="L16" s="16">
        <v>473</v>
      </c>
      <c r="M16" s="16">
        <v>507</v>
      </c>
      <c r="N16" s="16">
        <v>608</v>
      </c>
      <c r="O16" s="16">
        <v>703</v>
      </c>
      <c r="P16" s="16">
        <v>785</v>
      </c>
      <c r="Q16" s="16">
        <v>599</v>
      </c>
      <c r="R16" s="16">
        <v>635</v>
      </c>
      <c r="S16" s="16">
        <v>774</v>
      </c>
      <c r="T16" s="16">
        <v>885</v>
      </c>
      <c r="U16" s="16">
        <v>969</v>
      </c>
      <c r="W16" s="12" t="s">
        <v>46</v>
      </c>
    </row>
    <row r="17" spans="1:23" x14ac:dyDescent="0.25">
      <c r="A17" t="s">
        <v>47</v>
      </c>
      <c r="B17" t="s">
        <v>48</v>
      </c>
      <c r="C17" t="s">
        <v>21</v>
      </c>
      <c r="D17" s="13">
        <v>38250</v>
      </c>
      <c r="E17" s="14" t="s">
        <v>26</v>
      </c>
      <c r="F17" s="14" t="s">
        <v>26</v>
      </c>
      <c r="G17" s="15">
        <v>756</v>
      </c>
      <c r="H17" s="15">
        <v>767</v>
      </c>
      <c r="I17" s="15">
        <v>983</v>
      </c>
      <c r="J17" s="15">
        <v>1235</v>
      </c>
      <c r="K17" s="15">
        <v>1322</v>
      </c>
      <c r="L17" s="16">
        <v>633</v>
      </c>
      <c r="M17" s="16">
        <v>678</v>
      </c>
      <c r="N17" s="16">
        <v>813</v>
      </c>
      <c r="O17" s="16">
        <v>940</v>
      </c>
      <c r="P17" s="16">
        <v>1048</v>
      </c>
      <c r="Q17" s="16">
        <v>660</v>
      </c>
      <c r="R17" s="16">
        <v>688</v>
      </c>
      <c r="S17" s="16">
        <v>884</v>
      </c>
      <c r="T17" s="16">
        <v>1107</v>
      </c>
      <c r="U17" s="16">
        <v>1241</v>
      </c>
      <c r="V17" t="s">
        <v>44</v>
      </c>
      <c r="W17" s="12" t="s">
        <v>27</v>
      </c>
    </row>
    <row r="18" spans="1:23" x14ac:dyDescent="0.25">
      <c r="A18" t="s">
        <v>49</v>
      </c>
      <c r="D18" s="13">
        <v>31800</v>
      </c>
      <c r="E18" s="14" t="s">
        <v>21</v>
      </c>
      <c r="F18" s="14" t="s">
        <v>26</v>
      </c>
      <c r="G18" s="15">
        <v>567</v>
      </c>
      <c r="H18" s="15">
        <v>650</v>
      </c>
      <c r="I18" s="15">
        <v>740</v>
      </c>
      <c r="J18" s="15">
        <v>1052</v>
      </c>
      <c r="K18" s="15">
        <v>1076</v>
      </c>
      <c r="L18" s="16">
        <v>572</v>
      </c>
      <c r="M18" s="16">
        <v>611</v>
      </c>
      <c r="N18" s="16">
        <v>696</v>
      </c>
      <c r="O18" s="16">
        <v>862</v>
      </c>
      <c r="P18" s="16">
        <v>962</v>
      </c>
      <c r="Q18" s="16">
        <v>572</v>
      </c>
      <c r="R18" s="16">
        <v>611</v>
      </c>
      <c r="S18" s="16">
        <v>696</v>
      </c>
      <c r="T18" s="16">
        <v>989</v>
      </c>
      <c r="U18" s="16">
        <v>1020</v>
      </c>
      <c r="W18" s="12" t="s">
        <v>33</v>
      </c>
    </row>
    <row r="19" spans="1:23" x14ac:dyDescent="0.25">
      <c r="A19" t="s">
        <v>50</v>
      </c>
      <c r="D19" s="13">
        <v>28650</v>
      </c>
      <c r="E19" s="14" t="s">
        <v>21</v>
      </c>
      <c r="F19" s="14" t="s">
        <v>26</v>
      </c>
      <c r="G19" s="15">
        <v>564</v>
      </c>
      <c r="H19" s="15">
        <v>567</v>
      </c>
      <c r="I19" s="15">
        <v>747</v>
      </c>
      <c r="J19" s="15">
        <v>909</v>
      </c>
      <c r="K19" s="15">
        <v>1086</v>
      </c>
      <c r="L19" s="16">
        <v>473</v>
      </c>
      <c r="M19" s="16">
        <v>507</v>
      </c>
      <c r="N19" s="16">
        <v>608</v>
      </c>
      <c r="O19" s="16">
        <v>703</v>
      </c>
      <c r="P19" s="16">
        <v>785</v>
      </c>
      <c r="Q19" s="16">
        <v>546</v>
      </c>
      <c r="R19" s="16">
        <v>557</v>
      </c>
      <c r="S19" s="16">
        <v>696</v>
      </c>
      <c r="T19" s="16">
        <v>865</v>
      </c>
      <c r="U19" s="16">
        <v>944</v>
      </c>
      <c r="W19" s="12" t="s">
        <v>37</v>
      </c>
    </row>
    <row r="20" spans="1:23" x14ac:dyDescent="0.25">
      <c r="A20" t="s">
        <v>51</v>
      </c>
      <c r="D20" s="13">
        <v>28650</v>
      </c>
      <c r="E20" s="14" t="s">
        <v>26</v>
      </c>
      <c r="F20" s="14" t="s">
        <v>26</v>
      </c>
      <c r="G20" s="15">
        <v>567</v>
      </c>
      <c r="H20" s="15">
        <v>655</v>
      </c>
      <c r="I20" s="15">
        <v>740</v>
      </c>
      <c r="J20" s="15">
        <v>990</v>
      </c>
      <c r="K20" s="15">
        <v>994</v>
      </c>
      <c r="L20" s="16">
        <v>473</v>
      </c>
      <c r="M20" s="16">
        <v>507</v>
      </c>
      <c r="N20" s="16">
        <v>608</v>
      </c>
      <c r="O20" s="16">
        <v>703</v>
      </c>
      <c r="P20" s="16">
        <v>785</v>
      </c>
      <c r="Q20" s="16">
        <v>529</v>
      </c>
      <c r="R20" s="16">
        <v>611</v>
      </c>
      <c r="S20" s="16">
        <v>696</v>
      </c>
      <c r="T20" s="16">
        <v>880</v>
      </c>
      <c r="U20" s="16">
        <v>961</v>
      </c>
      <c r="W20" s="12" t="s">
        <v>33</v>
      </c>
    </row>
    <row r="21" spans="1:23" x14ac:dyDescent="0.25">
      <c r="A21" t="s">
        <v>52</v>
      </c>
      <c r="D21" s="13">
        <v>34650</v>
      </c>
      <c r="E21" s="14" t="s">
        <v>21</v>
      </c>
      <c r="F21" s="14" t="s">
        <v>26</v>
      </c>
      <c r="G21" s="15">
        <v>708</v>
      </c>
      <c r="H21" s="15">
        <v>857</v>
      </c>
      <c r="I21" s="15">
        <v>1009</v>
      </c>
      <c r="J21" s="15">
        <v>1258</v>
      </c>
      <c r="K21" s="15">
        <v>1389</v>
      </c>
      <c r="L21" s="16">
        <v>573</v>
      </c>
      <c r="M21" s="16">
        <v>614</v>
      </c>
      <c r="N21" s="16">
        <v>737</v>
      </c>
      <c r="O21" s="16">
        <v>851</v>
      </c>
      <c r="P21" s="16">
        <v>950</v>
      </c>
      <c r="Q21" s="16">
        <v>632</v>
      </c>
      <c r="R21" s="16">
        <v>756</v>
      </c>
      <c r="S21" s="16">
        <v>897</v>
      </c>
      <c r="T21" s="16">
        <v>1074</v>
      </c>
      <c r="U21" s="16">
        <v>1179</v>
      </c>
      <c r="V21" t="s">
        <v>39</v>
      </c>
      <c r="W21" s="12" t="s">
        <v>37</v>
      </c>
    </row>
    <row r="22" spans="1:23" x14ac:dyDescent="0.25">
      <c r="A22" t="s">
        <v>53</v>
      </c>
      <c r="D22" s="13">
        <v>42150</v>
      </c>
      <c r="E22" s="14" t="s">
        <v>21</v>
      </c>
      <c r="F22" s="14" t="s">
        <v>21</v>
      </c>
      <c r="G22" s="15">
        <v>859</v>
      </c>
      <c r="H22" s="15">
        <v>876</v>
      </c>
      <c r="I22" s="15">
        <v>1005</v>
      </c>
      <c r="J22" s="15">
        <v>1266</v>
      </c>
      <c r="K22" s="15">
        <v>1644</v>
      </c>
      <c r="L22" s="16">
        <v>744</v>
      </c>
      <c r="M22" s="16">
        <v>781</v>
      </c>
      <c r="N22" s="16">
        <v>917</v>
      </c>
      <c r="O22" s="16">
        <v>1153</v>
      </c>
      <c r="P22" s="16">
        <v>1286</v>
      </c>
      <c r="Q22" s="16">
        <v>744</v>
      </c>
      <c r="R22" s="16">
        <v>781</v>
      </c>
      <c r="S22" s="16">
        <v>917</v>
      </c>
      <c r="T22" s="16">
        <v>1161</v>
      </c>
      <c r="U22" s="16">
        <v>1447</v>
      </c>
      <c r="V22" t="s">
        <v>29</v>
      </c>
      <c r="W22" s="12" t="s">
        <v>30</v>
      </c>
    </row>
    <row r="23" spans="1:23" x14ac:dyDescent="0.25">
      <c r="A23" t="s">
        <v>54</v>
      </c>
      <c r="D23" s="13">
        <v>28650</v>
      </c>
      <c r="E23" s="14" t="s">
        <v>21</v>
      </c>
      <c r="F23" s="14" t="s">
        <v>26</v>
      </c>
      <c r="G23" s="15">
        <v>558</v>
      </c>
      <c r="H23" s="15">
        <v>562</v>
      </c>
      <c r="I23" s="15">
        <v>740</v>
      </c>
      <c r="J23" s="15">
        <v>1006</v>
      </c>
      <c r="K23" s="15">
        <v>1090</v>
      </c>
      <c r="L23" s="16">
        <v>473</v>
      </c>
      <c r="M23" s="16">
        <v>507</v>
      </c>
      <c r="N23" s="16">
        <v>608</v>
      </c>
      <c r="O23" s="16">
        <v>703</v>
      </c>
      <c r="P23" s="16">
        <v>785</v>
      </c>
      <c r="Q23" s="16">
        <v>529</v>
      </c>
      <c r="R23" s="16">
        <v>529</v>
      </c>
      <c r="S23" s="16">
        <v>696</v>
      </c>
      <c r="T23" s="16">
        <v>880</v>
      </c>
      <c r="U23" s="16">
        <v>963</v>
      </c>
      <c r="W23" s="12" t="s">
        <v>46</v>
      </c>
    </row>
    <row r="24" spans="1:23" x14ac:dyDescent="0.25">
      <c r="A24" t="s">
        <v>55</v>
      </c>
      <c r="D24" s="13">
        <v>42150</v>
      </c>
      <c r="E24" s="14" t="s">
        <v>21</v>
      </c>
      <c r="F24" s="14" t="s">
        <v>26</v>
      </c>
      <c r="G24" s="15">
        <v>859</v>
      </c>
      <c r="H24" s="15">
        <v>876</v>
      </c>
      <c r="I24" s="15">
        <v>1005</v>
      </c>
      <c r="J24" s="15">
        <v>1266</v>
      </c>
      <c r="K24" s="15">
        <v>1644</v>
      </c>
      <c r="L24" s="16">
        <v>744</v>
      </c>
      <c r="M24" s="16">
        <v>781</v>
      </c>
      <c r="N24" s="16">
        <v>917</v>
      </c>
      <c r="O24" s="16">
        <v>1153</v>
      </c>
      <c r="P24" s="16">
        <v>1286</v>
      </c>
      <c r="Q24" s="16">
        <v>744</v>
      </c>
      <c r="R24" s="16">
        <v>781</v>
      </c>
      <c r="S24" s="16">
        <v>917</v>
      </c>
      <c r="T24" s="16">
        <v>1161</v>
      </c>
      <c r="U24" s="16">
        <v>1447</v>
      </c>
      <c r="V24" t="s">
        <v>29</v>
      </c>
      <c r="W24" s="12" t="s">
        <v>30</v>
      </c>
    </row>
    <row r="25" spans="1:23" x14ac:dyDescent="0.25">
      <c r="A25" t="s">
        <v>56</v>
      </c>
      <c r="D25" s="13">
        <v>28650</v>
      </c>
      <c r="E25" s="14" t="s">
        <v>21</v>
      </c>
      <c r="F25" s="14" t="s">
        <v>26</v>
      </c>
      <c r="G25" s="15">
        <v>567</v>
      </c>
      <c r="H25" s="15">
        <v>592</v>
      </c>
      <c r="I25" s="15">
        <v>740</v>
      </c>
      <c r="J25" s="15">
        <v>933</v>
      </c>
      <c r="K25" s="15">
        <v>994</v>
      </c>
      <c r="L25" s="16">
        <v>473</v>
      </c>
      <c r="M25" s="16">
        <v>507</v>
      </c>
      <c r="N25" s="16">
        <v>608</v>
      </c>
      <c r="O25" s="16">
        <v>703</v>
      </c>
      <c r="P25" s="16">
        <v>785</v>
      </c>
      <c r="Q25" s="16">
        <v>529</v>
      </c>
      <c r="R25" s="16">
        <v>574</v>
      </c>
      <c r="S25" s="16">
        <v>696</v>
      </c>
      <c r="T25" s="16">
        <v>880</v>
      </c>
      <c r="U25" s="16">
        <v>963</v>
      </c>
      <c r="W25" s="12" t="s">
        <v>23</v>
      </c>
    </row>
    <row r="26" spans="1:23" x14ac:dyDescent="0.25">
      <c r="A26" t="s">
        <v>57</v>
      </c>
      <c r="D26" s="13">
        <v>28650</v>
      </c>
      <c r="E26" s="14" t="s">
        <v>21</v>
      </c>
      <c r="F26" s="14" t="s">
        <v>26</v>
      </c>
      <c r="G26" s="15">
        <v>629</v>
      </c>
      <c r="H26" s="15">
        <v>633</v>
      </c>
      <c r="I26" s="15">
        <v>740</v>
      </c>
      <c r="J26" s="15">
        <v>946</v>
      </c>
      <c r="K26" s="15">
        <v>994</v>
      </c>
      <c r="L26" s="16">
        <v>473</v>
      </c>
      <c r="M26" s="16">
        <v>507</v>
      </c>
      <c r="N26" s="16">
        <v>608</v>
      </c>
      <c r="O26" s="16">
        <v>703</v>
      </c>
      <c r="P26" s="16">
        <v>785</v>
      </c>
      <c r="Q26" s="16">
        <v>529</v>
      </c>
      <c r="R26" s="16">
        <v>532</v>
      </c>
      <c r="S26" s="16">
        <v>696</v>
      </c>
      <c r="T26" s="16">
        <v>880</v>
      </c>
      <c r="U26" s="16">
        <v>944</v>
      </c>
      <c r="W26" s="12" t="s">
        <v>46</v>
      </c>
    </row>
    <row r="27" spans="1:23" x14ac:dyDescent="0.25">
      <c r="A27" t="s">
        <v>58</v>
      </c>
      <c r="B27" t="s">
        <v>59</v>
      </c>
      <c r="C27" t="s">
        <v>21</v>
      </c>
      <c r="D27" s="13">
        <v>31400</v>
      </c>
      <c r="E27" s="14" t="s">
        <v>21</v>
      </c>
      <c r="F27" s="14" t="s">
        <v>26</v>
      </c>
      <c r="G27" s="15">
        <v>601</v>
      </c>
      <c r="H27" s="15">
        <v>683</v>
      </c>
      <c r="I27" s="15">
        <v>899</v>
      </c>
      <c r="J27" s="15">
        <v>1219</v>
      </c>
      <c r="K27" s="15">
        <v>1307</v>
      </c>
      <c r="L27" s="16">
        <v>543</v>
      </c>
      <c r="M27" s="16">
        <v>598</v>
      </c>
      <c r="N27" s="16">
        <v>718</v>
      </c>
      <c r="O27" s="16">
        <v>830</v>
      </c>
      <c r="P27" s="16">
        <v>926</v>
      </c>
      <c r="Q27" s="16">
        <v>543</v>
      </c>
      <c r="R27" s="16">
        <v>637</v>
      </c>
      <c r="S27" s="16">
        <v>818</v>
      </c>
      <c r="T27" s="16">
        <v>1044</v>
      </c>
      <c r="U27" s="16">
        <v>1145</v>
      </c>
      <c r="V27" t="s">
        <v>60</v>
      </c>
      <c r="W27" s="12" t="s">
        <v>33</v>
      </c>
    </row>
    <row r="28" spans="1:23" x14ac:dyDescent="0.25">
      <c r="A28" t="s">
        <v>61</v>
      </c>
      <c r="B28" t="s">
        <v>62</v>
      </c>
      <c r="C28" t="s">
        <v>21</v>
      </c>
      <c r="D28" s="13">
        <v>31750</v>
      </c>
      <c r="E28" s="14" t="s">
        <v>21</v>
      </c>
      <c r="F28" s="14" t="s">
        <v>26</v>
      </c>
      <c r="G28" s="15">
        <v>700</v>
      </c>
      <c r="H28" s="15">
        <v>704</v>
      </c>
      <c r="I28" s="15">
        <v>927</v>
      </c>
      <c r="J28" s="15">
        <v>1180</v>
      </c>
      <c r="K28" s="15">
        <v>1448</v>
      </c>
      <c r="L28" s="16">
        <v>525</v>
      </c>
      <c r="M28" s="16">
        <v>562</v>
      </c>
      <c r="N28" s="16">
        <v>675</v>
      </c>
      <c r="O28" s="16">
        <v>780</v>
      </c>
      <c r="P28" s="16">
        <v>870</v>
      </c>
      <c r="Q28" s="16">
        <v>614</v>
      </c>
      <c r="R28" s="16">
        <v>629</v>
      </c>
      <c r="S28" s="16">
        <v>828</v>
      </c>
      <c r="T28" s="16">
        <v>980</v>
      </c>
      <c r="U28" s="16">
        <v>1074</v>
      </c>
      <c r="V28" t="s">
        <v>22</v>
      </c>
      <c r="W28" s="12" t="s">
        <v>23</v>
      </c>
    </row>
    <row r="29" spans="1:23" x14ac:dyDescent="0.25">
      <c r="A29" t="s">
        <v>63</v>
      </c>
      <c r="D29" s="13">
        <v>33650</v>
      </c>
      <c r="E29" s="14" t="s">
        <v>21</v>
      </c>
      <c r="F29" s="14" t="s">
        <v>26</v>
      </c>
      <c r="G29" s="15">
        <v>687</v>
      </c>
      <c r="H29" s="15">
        <v>708</v>
      </c>
      <c r="I29" s="15">
        <v>800</v>
      </c>
      <c r="J29" s="15">
        <v>1137</v>
      </c>
      <c r="K29" s="15">
        <v>1308</v>
      </c>
      <c r="L29" s="16">
        <v>557</v>
      </c>
      <c r="M29" s="16">
        <v>596</v>
      </c>
      <c r="N29" s="16">
        <v>716</v>
      </c>
      <c r="O29" s="16">
        <v>826</v>
      </c>
      <c r="P29" s="16">
        <v>922</v>
      </c>
      <c r="Q29" s="16">
        <v>604</v>
      </c>
      <c r="R29" s="16">
        <v>630</v>
      </c>
      <c r="S29" s="16">
        <v>742</v>
      </c>
      <c r="T29" s="16">
        <v>1016</v>
      </c>
      <c r="U29" s="16">
        <v>1135</v>
      </c>
      <c r="V29" t="s">
        <v>64</v>
      </c>
      <c r="W29" s="12" t="s">
        <v>30</v>
      </c>
    </row>
    <row r="30" spans="1:23" x14ac:dyDescent="0.25">
      <c r="A30" t="s">
        <v>65</v>
      </c>
      <c r="B30" t="s">
        <v>66</v>
      </c>
      <c r="C30" t="s">
        <v>21</v>
      </c>
      <c r="D30" s="13">
        <v>30250</v>
      </c>
      <c r="E30" s="14" t="s">
        <v>21</v>
      </c>
      <c r="F30" s="14" t="s">
        <v>26</v>
      </c>
      <c r="G30" s="15">
        <v>567</v>
      </c>
      <c r="H30" s="15">
        <v>651</v>
      </c>
      <c r="I30" s="15">
        <v>740</v>
      </c>
      <c r="J30" s="15">
        <v>990</v>
      </c>
      <c r="K30" s="15">
        <v>994</v>
      </c>
      <c r="L30" s="16">
        <v>501</v>
      </c>
      <c r="M30" s="16">
        <v>536</v>
      </c>
      <c r="N30" s="16">
        <v>643</v>
      </c>
      <c r="O30" s="16">
        <v>743</v>
      </c>
      <c r="P30" s="16">
        <v>830</v>
      </c>
      <c r="Q30" s="16">
        <v>529</v>
      </c>
      <c r="R30" s="16">
        <v>589</v>
      </c>
      <c r="S30" s="16">
        <v>696</v>
      </c>
      <c r="T30" s="16">
        <v>919</v>
      </c>
      <c r="U30" s="16">
        <v>944</v>
      </c>
      <c r="W30" s="12" t="s">
        <v>46</v>
      </c>
    </row>
    <row r="31" spans="1:23" x14ac:dyDescent="0.25">
      <c r="A31" t="s">
        <v>67</v>
      </c>
      <c r="D31" s="13">
        <v>41000</v>
      </c>
      <c r="E31" s="14" t="s">
        <v>26</v>
      </c>
      <c r="F31" s="14" t="s">
        <v>26</v>
      </c>
      <c r="G31" s="15">
        <v>848</v>
      </c>
      <c r="H31" s="15">
        <v>1002</v>
      </c>
      <c r="I31" s="15">
        <v>1182</v>
      </c>
      <c r="J31" s="15">
        <v>1524</v>
      </c>
      <c r="K31" s="15">
        <v>1770</v>
      </c>
      <c r="L31" s="16">
        <v>686</v>
      </c>
      <c r="M31" s="16">
        <v>735</v>
      </c>
      <c r="N31" s="16">
        <v>882</v>
      </c>
      <c r="O31" s="16">
        <v>1019</v>
      </c>
      <c r="P31" s="16">
        <v>1137</v>
      </c>
      <c r="Q31" s="16">
        <v>786</v>
      </c>
      <c r="R31" s="16">
        <v>927</v>
      </c>
      <c r="S31" s="16">
        <v>1089</v>
      </c>
      <c r="T31" s="16">
        <v>1291</v>
      </c>
      <c r="U31" s="16">
        <v>1421</v>
      </c>
      <c r="V31" t="s">
        <v>68</v>
      </c>
      <c r="W31" s="12" t="s">
        <v>69</v>
      </c>
    </row>
    <row r="32" spans="1:23" x14ac:dyDescent="0.25">
      <c r="A32" t="s">
        <v>70</v>
      </c>
      <c r="B32" t="s">
        <v>71</v>
      </c>
      <c r="C32" t="s">
        <v>21</v>
      </c>
      <c r="D32" s="13">
        <v>33650</v>
      </c>
      <c r="E32" s="14" t="s">
        <v>21</v>
      </c>
      <c r="F32" s="14" t="s">
        <v>26</v>
      </c>
      <c r="G32" s="15">
        <v>605</v>
      </c>
      <c r="H32" s="15">
        <v>646</v>
      </c>
      <c r="I32" s="15">
        <v>740</v>
      </c>
      <c r="J32" s="15">
        <v>1052</v>
      </c>
      <c r="K32" s="15">
        <v>1076</v>
      </c>
      <c r="L32" s="16">
        <v>557</v>
      </c>
      <c r="M32" s="16">
        <v>596</v>
      </c>
      <c r="N32" s="16">
        <v>696</v>
      </c>
      <c r="O32" s="16">
        <v>826</v>
      </c>
      <c r="P32" s="16">
        <v>922</v>
      </c>
      <c r="Q32" s="16">
        <v>577</v>
      </c>
      <c r="R32" s="16">
        <v>611</v>
      </c>
      <c r="S32" s="16">
        <v>696</v>
      </c>
      <c r="T32" s="16">
        <v>940</v>
      </c>
      <c r="U32" s="16">
        <v>944</v>
      </c>
      <c r="W32" s="12" t="s">
        <v>27</v>
      </c>
    </row>
    <row r="33" spans="1:23" x14ac:dyDescent="0.25">
      <c r="A33" t="s">
        <v>23</v>
      </c>
      <c r="B33" t="s">
        <v>72</v>
      </c>
      <c r="C33" t="s">
        <v>26</v>
      </c>
      <c r="D33" s="13">
        <v>40500</v>
      </c>
      <c r="E33" s="14" t="s">
        <v>21</v>
      </c>
      <c r="F33" s="14" t="s">
        <v>21</v>
      </c>
      <c r="G33" s="15">
        <v>658</v>
      </c>
      <c r="H33" s="15">
        <v>871</v>
      </c>
      <c r="I33" s="15">
        <v>984</v>
      </c>
      <c r="J33" s="15">
        <v>1291</v>
      </c>
      <c r="K33" s="15">
        <v>1670</v>
      </c>
      <c r="L33" s="16">
        <v>608</v>
      </c>
      <c r="M33" s="16">
        <v>717</v>
      </c>
      <c r="N33" s="16">
        <v>861</v>
      </c>
      <c r="O33" s="16">
        <v>995</v>
      </c>
      <c r="P33" s="16">
        <v>1110</v>
      </c>
      <c r="Q33" s="16">
        <v>608</v>
      </c>
      <c r="R33" s="16">
        <v>781</v>
      </c>
      <c r="S33" s="16">
        <v>890</v>
      </c>
      <c r="T33" s="16">
        <v>1202</v>
      </c>
      <c r="U33" s="16">
        <v>1385</v>
      </c>
      <c r="V33" t="s">
        <v>73</v>
      </c>
      <c r="W33" s="12" t="s">
        <v>23</v>
      </c>
    </row>
    <row r="34" spans="1:23" x14ac:dyDescent="0.25">
      <c r="A34" t="s">
        <v>74</v>
      </c>
      <c r="D34" s="13">
        <v>36750</v>
      </c>
      <c r="E34" s="14" t="s">
        <v>26</v>
      </c>
      <c r="F34" s="14" t="s">
        <v>26</v>
      </c>
      <c r="G34" s="15">
        <v>656</v>
      </c>
      <c r="H34" s="15">
        <v>780</v>
      </c>
      <c r="I34" s="15">
        <v>981</v>
      </c>
      <c r="J34" s="15">
        <v>1266</v>
      </c>
      <c r="K34" s="15">
        <v>1428</v>
      </c>
      <c r="L34" s="16">
        <v>598</v>
      </c>
      <c r="M34" s="16">
        <v>651</v>
      </c>
      <c r="N34" s="16">
        <v>781</v>
      </c>
      <c r="O34" s="16">
        <v>902</v>
      </c>
      <c r="P34" s="16">
        <v>1007</v>
      </c>
      <c r="Q34" s="16">
        <v>598</v>
      </c>
      <c r="R34" s="16">
        <v>700</v>
      </c>
      <c r="S34" s="16">
        <v>890</v>
      </c>
      <c r="T34" s="16">
        <v>1139</v>
      </c>
      <c r="U34" s="16">
        <v>1251</v>
      </c>
      <c r="V34" t="s">
        <v>75</v>
      </c>
      <c r="W34" s="12" t="s">
        <v>23</v>
      </c>
    </row>
    <row r="35" spans="1:23" x14ac:dyDescent="0.25">
      <c r="A35" t="s">
        <v>76</v>
      </c>
      <c r="B35" t="s">
        <v>77</v>
      </c>
      <c r="C35" t="s">
        <v>21</v>
      </c>
      <c r="D35" s="13">
        <v>30050</v>
      </c>
      <c r="E35" s="14" t="s">
        <v>21</v>
      </c>
      <c r="F35" s="14" t="s">
        <v>26</v>
      </c>
      <c r="G35" s="15">
        <v>558</v>
      </c>
      <c r="H35" s="15">
        <v>562</v>
      </c>
      <c r="I35" s="15">
        <v>740</v>
      </c>
      <c r="J35" s="15">
        <v>944</v>
      </c>
      <c r="K35" s="15">
        <v>1041</v>
      </c>
      <c r="L35" s="16">
        <v>500</v>
      </c>
      <c r="M35" s="16">
        <v>535</v>
      </c>
      <c r="N35" s="16">
        <v>642</v>
      </c>
      <c r="O35" s="16">
        <v>742</v>
      </c>
      <c r="P35" s="16">
        <v>828</v>
      </c>
      <c r="Q35" s="16">
        <v>529</v>
      </c>
      <c r="R35" s="16">
        <v>544</v>
      </c>
      <c r="S35" s="16">
        <v>696</v>
      </c>
      <c r="T35" s="16">
        <v>894</v>
      </c>
      <c r="U35" s="16">
        <v>980</v>
      </c>
      <c r="W35" s="12" t="s">
        <v>33</v>
      </c>
    </row>
    <row r="36" spans="1:23" x14ac:dyDescent="0.25">
      <c r="A36" t="s">
        <v>78</v>
      </c>
      <c r="B36" t="s">
        <v>79</v>
      </c>
      <c r="C36" t="s">
        <v>21</v>
      </c>
      <c r="D36" s="13">
        <v>31900</v>
      </c>
      <c r="E36" s="14" t="s">
        <v>21</v>
      </c>
      <c r="F36" s="14" t="s">
        <v>26</v>
      </c>
      <c r="G36" s="15">
        <v>538</v>
      </c>
      <c r="H36" s="15">
        <v>663</v>
      </c>
      <c r="I36" s="15">
        <v>805</v>
      </c>
      <c r="J36" s="15">
        <v>1050</v>
      </c>
      <c r="K36" s="15">
        <v>1371</v>
      </c>
      <c r="L36" s="16">
        <v>533</v>
      </c>
      <c r="M36" s="16">
        <v>571</v>
      </c>
      <c r="N36" s="16">
        <v>686</v>
      </c>
      <c r="O36" s="16">
        <v>793</v>
      </c>
      <c r="P36" s="16">
        <v>885</v>
      </c>
      <c r="Q36" s="16">
        <v>593</v>
      </c>
      <c r="R36" s="16">
        <v>653</v>
      </c>
      <c r="S36" s="16">
        <v>780</v>
      </c>
      <c r="T36" s="16">
        <v>997</v>
      </c>
      <c r="U36" s="16">
        <v>1093</v>
      </c>
      <c r="W36" s="12" t="s">
        <v>37</v>
      </c>
    </row>
    <row r="37" spans="1:23" x14ac:dyDescent="0.25">
      <c r="A37" t="s">
        <v>80</v>
      </c>
      <c r="D37" s="13">
        <v>42150</v>
      </c>
      <c r="E37" s="14" t="s">
        <v>21</v>
      </c>
      <c r="F37" s="14" t="s">
        <v>21</v>
      </c>
      <c r="G37" s="15">
        <v>859</v>
      </c>
      <c r="H37" s="15">
        <v>876</v>
      </c>
      <c r="I37" s="15">
        <v>1005</v>
      </c>
      <c r="J37" s="15">
        <v>1266</v>
      </c>
      <c r="K37" s="15">
        <v>1644</v>
      </c>
      <c r="L37" s="16">
        <v>744</v>
      </c>
      <c r="M37" s="16">
        <v>781</v>
      </c>
      <c r="N37" s="16">
        <v>917</v>
      </c>
      <c r="O37" s="16">
        <v>1153</v>
      </c>
      <c r="P37" s="16">
        <v>1286</v>
      </c>
      <c r="Q37" s="16">
        <v>744</v>
      </c>
      <c r="R37" s="16">
        <v>781</v>
      </c>
      <c r="S37" s="16">
        <v>917</v>
      </c>
      <c r="T37" s="16">
        <v>1161</v>
      </c>
      <c r="U37" s="16">
        <v>1447</v>
      </c>
      <c r="V37" t="s">
        <v>29</v>
      </c>
      <c r="W37" s="12" t="s">
        <v>30</v>
      </c>
    </row>
    <row r="38" spans="1:23" x14ac:dyDescent="0.25">
      <c r="A38" t="s">
        <v>81</v>
      </c>
      <c r="D38" s="13">
        <v>28650</v>
      </c>
      <c r="E38" s="14" t="s">
        <v>21</v>
      </c>
      <c r="F38" s="14" t="s">
        <v>26</v>
      </c>
      <c r="G38" s="15">
        <v>563</v>
      </c>
      <c r="H38" s="15">
        <v>566</v>
      </c>
      <c r="I38" s="15">
        <v>740</v>
      </c>
      <c r="J38" s="15">
        <v>1026</v>
      </c>
      <c r="K38" s="15">
        <v>1247</v>
      </c>
      <c r="L38" s="16">
        <v>473</v>
      </c>
      <c r="M38" s="16">
        <v>507</v>
      </c>
      <c r="N38" s="16">
        <v>608</v>
      </c>
      <c r="O38" s="16">
        <v>703</v>
      </c>
      <c r="P38" s="16">
        <v>785</v>
      </c>
      <c r="Q38" s="16">
        <v>549</v>
      </c>
      <c r="R38" s="16">
        <v>552</v>
      </c>
      <c r="S38" s="16">
        <v>696</v>
      </c>
      <c r="T38" s="16">
        <v>880</v>
      </c>
      <c r="U38" s="16">
        <v>963</v>
      </c>
      <c r="W38" s="12" t="s">
        <v>46</v>
      </c>
    </row>
    <row r="39" spans="1:23" x14ac:dyDescent="0.25">
      <c r="A39" t="s">
        <v>82</v>
      </c>
      <c r="B39" t="s">
        <v>83</v>
      </c>
      <c r="C39" t="s">
        <v>21</v>
      </c>
      <c r="D39" s="13">
        <v>28650</v>
      </c>
      <c r="E39" s="14" t="s">
        <v>21</v>
      </c>
      <c r="F39" s="14" t="s">
        <v>26</v>
      </c>
      <c r="G39" s="15">
        <v>609</v>
      </c>
      <c r="H39" s="15">
        <v>613</v>
      </c>
      <c r="I39" s="15">
        <v>740</v>
      </c>
      <c r="J39" s="15">
        <v>941</v>
      </c>
      <c r="K39" s="15">
        <v>1260</v>
      </c>
      <c r="L39" s="16">
        <v>473</v>
      </c>
      <c r="M39" s="16">
        <v>507</v>
      </c>
      <c r="N39" s="16">
        <v>608</v>
      </c>
      <c r="O39" s="16">
        <v>703</v>
      </c>
      <c r="P39" s="16">
        <v>785</v>
      </c>
      <c r="Q39" s="16">
        <v>584</v>
      </c>
      <c r="R39" s="16">
        <v>588</v>
      </c>
      <c r="S39" s="16">
        <v>696</v>
      </c>
      <c r="T39" s="16">
        <v>880</v>
      </c>
      <c r="U39" s="16">
        <v>963</v>
      </c>
      <c r="W39" s="12" t="s">
        <v>46</v>
      </c>
    </row>
    <row r="40" spans="1:23" x14ac:dyDescent="0.25">
      <c r="A40" t="s">
        <v>84</v>
      </c>
      <c r="B40" t="s">
        <v>85</v>
      </c>
      <c r="C40" t="s">
        <v>21</v>
      </c>
      <c r="D40" s="13">
        <v>29200</v>
      </c>
      <c r="E40" s="14" t="s">
        <v>21</v>
      </c>
      <c r="F40" s="14" t="s">
        <v>26</v>
      </c>
      <c r="G40" s="15">
        <v>570</v>
      </c>
      <c r="H40" s="15">
        <v>648</v>
      </c>
      <c r="I40" s="15">
        <v>853</v>
      </c>
      <c r="J40" s="15">
        <v>1080</v>
      </c>
      <c r="K40" s="15">
        <v>1146</v>
      </c>
      <c r="L40" s="16">
        <v>483</v>
      </c>
      <c r="M40" s="16">
        <v>518</v>
      </c>
      <c r="N40" s="16">
        <v>621</v>
      </c>
      <c r="O40" s="16">
        <v>718</v>
      </c>
      <c r="P40" s="16">
        <v>801</v>
      </c>
      <c r="Q40" s="16">
        <v>539</v>
      </c>
      <c r="R40" s="16">
        <v>616</v>
      </c>
      <c r="S40" s="16">
        <v>787</v>
      </c>
      <c r="T40" s="16">
        <v>900</v>
      </c>
      <c r="U40" s="16">
        <v>984</v>
      </c>
      <c r="W40" s="12" t="s">
        <v>37</v>
      </c>
    </row>
    <row r="41" spans="1:23" x14ac:dyDescent="0.25">
      <c r="A41" t="s">
        <v>86</v>
      </c>
      <c r="D41" s="13">
        <v>41000</v>
      </c>
      <c r="E41" s="14" t="s">
        <v>26</v>
      </c>
      <c r="F41" s="14" t="s">
        <v>26</v>
      </c>
      <c r="G41" s="15">
        <v>848</v>
      </c>
      <c r="H41" s="15">
        <v>1002</v>
      </c>
      <c r="I41" s="15">
        <v>1182</v>
      </c>
      <c r="J41" s="15">
        <v>1524</v>
      </c>
      <c r="K41" s="15">
        <v>1770</v>
      </c>
      <c r="L41" s="16">
        <v>686</v>
      </c>
      <c r="M41" s="16">
        <v>735</v>
      </c>
      <c r="N41" s="16">
        <v>882</v>
      </c>
      <c r="O41" s="16">
        <v>1019</v>
      </c>
      <c r="P41" s="16">
        <v>1137</v>
      </c>
      <c r="Q41" s="16">
        <v>786</v>
      </c>
      <c r="R41" s="16">
        <v>927</v>
      </c>
      <c r="S41" s="16">
        <v>1089</v>
      </c>
      <c r="T41" s="16">
        <v>1291</v>
      </c>
      <c r="U41" s="16">
        <v>1421</v>
      </c>
      <c r="V41" t="s">
        <v>68</v>
      </c>
      <c r="W41" s="12" t="s">
        <v>69</v>
      </c>
    </row>
    <row r="42" spans="1:23" x14ac:dyDescent="0.25">
      <c r="A42" t="s">
        <v>87</v>
      </c>
      <c r="B42" t="s">
        <v>88</v>
      </c>
      <c r="C42" t="s">
        <v>26</v>
      </c>
      <c r="D42" s="13">
        <v>30950</v>
      </c>
      <c r="E42" s="14" t="s">
        <v>21</v>
      </c>
      <c r="F42" s="14" t="s">
        <v>21</v>
      </c>
      <c r="G42" s="15">
        <v>665</v>
      </c>
      <c r="H42" s="15">
        <v>669</v>
      </c>
      <c r="I42" s="15">
        <v>881</v>
      </c>
      <c r="J42" s="15">
        <v>1093</v>
      </c>
      <c r="K42" s="15">
        <v>1184</v>
      </c>
      <c r="L42" s="16">
        <v>512</v>
      </c>
      <c r="M42" s="16">
        <v>548</v>
      </c>
      <c r="N42" s="16">
        <v>658</v>
      </c>
      <c r="O42" s="16">
        <v>760</v>
      </c>
      <c r="P42" s="16">
        <v>848</v>
      </c>
      <c r="Q42" s="16">
        <v>615</v>
      </c>
      <c r="R42" s="16">
        <v>619</v>
      </c>
      <c r="S42" s="16">
        <v>815</v>
      </c>
      <c r="T42" s="16">
        <v>955</v>
      </c>
      <c r="U42" s="16">
        <v>1046</v>
      </c>
      <c r="V42" t="s">
        <v>89</v>
      </c>
      <c r="W42" s="12" t="s">
        <v>46</v>
      </c>
    </row>
    <row r="43" spans="1:23" x14ac:dyDescent="0.25">
      <c r="A43" t="s">
        <v>90</v>
      </c>
      <c r="D43" s="13">
        <v>41000</v>
      </c>
      <c r="E43" s="14" t="s">
        <v>26</v>
      </c>
      <c r="F43" s="14" t="s">
        <v>26</v>
      </c>
      <c r="G43" s="15">
        <v>848</v>
      </c>
      <c r="H43" s="15">
        <v>1002</v>
      </c>
      <c r="I43" s="15">
        <v>1182</v>
      </c>
      <c r="J43" s="15">
        <v>1524</v>
      </c>
      <c r="K43" s="15">
        <v>1770</v>
      </c>
      <c r="L43" s="16">
        <v>686</v>
      </c>
      <c r="M43" s="16">
        <v>735</v>
      </c>
      <c r="N43" s="16">
        <v>882</v>
      </c>
      <c r="O43" s="16">
        <v>1019</v>
      </c>
      <c r="P43" s="16">
        <v>1137</v>
      </c>
      <c r="Q43" s="16">
        <v>786</v>
      </c>
      <c r="R43" s="16">
        <v>927</v>
      </c>
      <c r="S43" s="16">
        <v>1089</v>
      </c>
      <c r="T43" s="16">
        <v>1291</v>
      </c>
      <c r="U43" s="16">
        <v>1421</v>
      </c>
      <c r="V43" t="s">
        <v>68</v>
      </c>
      <c r="W43" s="12" t="s">
        <v>69</v>
      </c>
    </row>
    <row r="44" spans="1:23" x14ac:dyDescent="0.25">
      <c r="A44" t="s">
        <v>91</v>
      </c>
      <c r="D44" s="13">
        <v>42150</v>
      </c>
      <c r="E44" s="14" t="s">
        <v>21</v>
      </c>
      <c r="F44" s="14" t="s">
        <v>26</v>
      </c>
      <c r="G44" s="15">
        <v>859</v>
      </c>
      <c r="H44" s="15">
        <v>876</v>
      </c>
      <c r="I44" s="15">
        <v>1005</v>
      </c>
      <c r="J44" s="15">
        <v>1266</v>
      </c>
      <c r="K44" s="15">
        <v>1644</v>
      </c>
      <c r="L44" s="16">
        <v>744</v>
      </c>
      <c r="M44" s="16">
        <v>781</v>
      </c>
      <c r="N44" s="16">
        <v>917</v>
      </c>
      <c r="O44" s="16">
        <v>1153</v>
      </c>
      <c r="P44" s="16">
        <v>1286</v>
      </c>
      <c r="Q44" s="16">
        <v>744</v>
      </c>
      <c r="R44" s="16">
        <v>781</v>
      </c>
      <c r="S44" s="16">
        <v>917</v>
      </c>
      <c r="T44" s="16">
        <v>1161</v>
      </c>
      <c r="U44" s="16">
        <v>1447</v>
      </c>
      <c r="V44" t="s">
        <v>29</v>
      </c>
      <c r="W44" s="12" t="s">
        <v>30</v>
      </c>
    </row>
    <row r="45" spans="1:23" x14ac:dyDescent="0.25">
      <c r="A45" t="s">
        <v>92</v>
      </c>
      <c r="B45" t="s">
        <v>93</v>
      </c>
      <c r="C45" t="s">
        <v>21</v>
      </c>
      <c r="D45" s="13">
        <v>31400</v>
      </c>
      <c r="E45" s="14" t="s">
        <v>21</v>
      </c>
      <c r="F45" s="14" t="s">
        <v>26</v>
      </c>
      <c r="G45" s="15">
        <v>601</v>
      </c>
      <c r="H45" s="15">
        <v>683</v>
      </c>
      <c r="I45" s="15">
        <v>899</v>
      </c>
      <c r="J45" s="15">
        <v>1219</v>
      </c>
      <c r="K45" s="15">
        <v>1307</v>
      </c>
      <c r="L45" s="16">
        <v>543</v>
      </c>
      <c r="M45" s="16">
        <v>598</v>
      </c>
      <c r="N45" s="16">
        <v>718</v>
      </c>
      <c r="O45" s="16">
        <v>830</v>
      </c>
      <c r="P45" s="16">
        <v>926</v>
      </c>
      <c r="Q45" s="16">
        <v>543</v>
      </c>
      <c r="R45" s="16">
        <v>637</v>
      </c>
      <c r="S45" s="16">
        <v>818</v>
      </c>
      <c r="T45" s="16">
        <v>1044</v>
      </c>
      <c r="U45" s="16">
        <v>1145</v>
      </c>
      <c r="V45" t="s">
        <v>60</v>
      </c>
      <c r="W45" s="12" t="s">
        <v>33</v>
      </c>
    </row>
    <row r="46" spans="1:23" x14ac:dyDescent="0.25">
      <c r="A46" t="s">
        <v>94</v>
      </c>
      <c r="D46" s="13">
        <v>29950</v>
      </c>
      <c r="E46" s="14" t="s">
        <v>21</v>
      </c>
      <c r="F46" s="14" t="s">
        <v>26</v>
      </c>
      <c r="G46" s="15">
        <v>566</v>
      </c>
      <c r="H46" s="15">
        <v>570</v>
      </c>
      <c r="I46" s="15">
        <v>750</v>
      </c>
      <c r="J46" s="15">
        <v>913</v>
      </c>
      <c r="K46" s="15">
        <v>1058</v>
      </c>
      <c r="L46" s="16">
        <v>496</v>
      </c>
      <c r="M46" s="16">
        <v>531</v>
      </c>
      <c r="N46" s="16">
        <v>637</v>
      </c>
      <c r="O46" s="16">
        <v>736</v>
      </c>
      <c r="P46" s="16">
        <v>821</v>
      </c>
      <c r="Q46" s="16">
        <v>530</v>
      </c>
      <c r="R46" s="16">
        <v>545</v>
      </c>
      <c r="S46" s="16">
        <v>697</v>
      </c>
      <c r="T46" s="16">
        <v>862</v>
      </c>
      <c r="U46" s="16">
        <v>963</v>
      </c>
      <c r="V46" s="16"/>
      <c r="W46" s="12" t="s">
        <v>37</v>
      </c>
    </row>
    <row r="47" spans="1:23" x14ac:dyDescent="0.25">
      <c r="A47" t="s">
        <v>95</v>
      </c>
      <c r="D47" s="13">
        <v>28650</v>
      </c>
      <c r="E47" s="14" t="s">
        <v>21</v>
      </c>
      <c r="F47" s="14" t="s">
        <v>26</v>
      </c>
      <c r="G47" s="15">
        <v>560</v>
      </c>
      <c r="H47" s="15">
        <v>564</v>
      </c>
      <c r="I47" s="15">
        <v>742</v>
      </c>
      <c r="J47" s="15">
        <v>903</v>
      </c>
      <c r="K47" s="15">
        <v>1149</v>
      </c>
      <c r="L47" s="16">
        <v>473</v>
      </c>
      <c r="M47" s="16">
        <v>507</v>
      </c>
      <c r="N47" s="16">
        <v>608</v>
      </c>
      <c r="O47" s="16">
        <v>703</v>
      </c>
      <c r="P47" s="16">
        <v>785</v>
      </c>
      <c r="Q47" s="16">
        <v>525</v>
      </c>
      <c r="R47" s="16">
        <v>529</v>
      </c>
      <c r="S47" s="16">
        <v>696</v>
      </c>
      <c r="T47" s="16">
        <v>860</v>
      </c>
      <c r="U47" s="16">
        <v>963</v>
      </c>
      <c r="W47" s="12" t="s">
        <v>46</v>
      </c>
    </row>
    <row r="48" spans="1:23" x14ac:dyDescent="0.25">
      <c r="A48" t="s">
        <v>96</v>
      </c>
      <c r="B48" t="s">
        <v>97</v>
      </c>
      <c r="C48" t="s">
        <v>21</v>
      </c>
      <c r="D48" s="13">
        <v>30400</v>
      </c>
      <c r="E48" s="14" t="s">
        <v>21</v>
      </c>
      <c r="F48" s="14" t="s">
        <v>26</v>
      </c>
      <c r="G48" s="15">
        <v>540</v>
      </c>
      <c r="H48" s="15">
        <v>614</v>
      </c>
      <c r="I48" s="15">
        <v>808</v>
      </c>
      <c r="J48" s="15">
        <v>983</v>
      </c>
      <c r="K48" s="15">
        <v>1085</v>
      </c>
      <c r="L48" s="16">
        <v>496</v>
      </c>
      <c r="M48" s="16">
        <v>543</v>
      </c>
      <c r="N48" s="16">
        <v>652</v>
      </c>
      <c r="O48" s="16">
        <v>754</v>
      </c>
      <c r="P48" s="16">
        <v>841</v>
      </c>
      <c r="Q48" s="16">
        <v>496</v>
      </c>
      <c r="R48" s="16">
        <v>567</v>
      </c>
      <c r="S48" s="16">
        <v>746</v>
      </c>
      <c r="T48" s="16">
        <v>941</v>
      </c>
      <c r="U48" s="16">
        <v>1036</v>
      </c>
      <c r="W48" s="12" t="s">
        <v>37</v>
      </c>
    </row>
    <row r="49" spans="1:23" x14ac:dyDescent="0.25">
      <c r="A49" t="s">
        <v>98</v>
      </c>
      <c r="D49" s="13">
        <v>41000</v>
      </c>
      <c r="E49" s="14" t="s">
        <v>26</v>
      </c>
      <c r="F49" s="14" t="s">
        <v>26</v>
      </c>
      <c r="G49" s="15">
        <v>848</v>
      </c>
      <c r="H49" s="15">
        <v>1002</v>
      </c>
      <c r="I49" s="15">
        <v>1182</v>
      </c>
      <c r="J49" s="15">
        <v>1524</v>
      </c>
      <c r="K49" s="15">
        <v>1770</v>
      </c>
      <c r="L49" s="16">
        <v>686</v>
      </c>
      <c r="M49" s="16">
        <v>735</v>
      </c>
      <c r="N49" s="16">
        <v>882</v>
      </c>
      <c r="O49" s="16">
        <v>1019</v>
      </c>
      <c r="P49" s="16">
        <v>1137</v>
      </c>
      <c r="Q49" s="16">
        <v>786</v>
      </c>
      <c r="R49" s="16">
        <v>927</v>
      </c>
      <c r="S49" s="16">
        <v>1089</v>
      </c>
      <c r="T49" s="16">
        <v>1291</v>
      </c>
      <c r="U49" s="16">
        <v>1421</v>
      </c>
      <c r="V49" t="s">
        <v>68</v>
      </c>
      <c r="W49" s="12" t="s">
        <v>69</v>
      </c>
    </row>
    <row r="50" spans="1:23" x14ac:dyDescent="0.25">
      <c r="A50" t="s">
        <v>99</v>
      </c>
      <c r="D50" s="13">
        <v>41000</v>
      </c>
      <c r="E50" s="14" t="s">
        <v>26</v>
      </c>
      <c r="F50" s="14" t="s">
        <v>26</v>
      </c>
      <c r="G50" s="15">
        <v>848</v>
      </c>
      <c r="H50" s="15">
        <v>1002</v>
      </c>
      <c r="I50" s="15">
        <v>1182</v>
      </c>
      <c r="J50" s="15">
        <v>1524</v>
      </c>
      <c r="K50" s="15">
        <v>1770</v>
      </c>
      <c r="L50" s="16">
        <v>686</v>
      </c>
      <c r="M50" s="16">
        <v>735</v>
      </c>
      <c r="N50" s="16">
        <v>882</v>
      </c>
      <c r="O50" s="16">
        <v>1019</v>
      </c>
      <c r="P50" s="16">
        <v>1137</v>
      </c>
      <c r="Q50" s="16">
        <v>786</v>
      </c>
      <c r="R50" s="16">
        <v>927</v>
      </c>
      <c r="S50" s="16">
        <v>1089</v>
      </c>
      <c r="T50" s="16">
        <v>1291</v>
      </c>
      <c r="U50" s="16">
        <v>1421</v>
      </c>
      <c r="V50" t="s">
        <v>68</v>
      </c>
      <c r="W50" s="12" t="s">
        <v>69</v>
      </c>
    </row>
    <row r="51" spans="1:23" x14ac:dyDescent="0.25">
      <c r="A51" t="s">
        <v>100</v>
      </c>
      <c r="D51" s="13">
        <v>42150</v>
      </c>
      <c r="E51" s="14" t="s">
        <v>21</v>
      </c>
      <c r="F51" s="14" t="s">
        <v>26</v>
      </c>
      <c r="G51" s="15">
        <v>859</v>
      </c>
      <c r="H51" s="15">
        <v>876</v>
      </c>
      <c r="I51" s="15">
        <v>1005</v>
      </c>
      <c r="J51" s="15">
        <v>1266</v>
      </c>
      <c r="K51" s="15">
        <v>1644</v>
      </c>
      <c r="L51" s="16">
        <v>744</v>
      </c>
      <c r="M51" s="16">
        <v>781</v>
      </c>
      <c r="N51" s="16">
        <v>917</v>
      </c>
      <c r="O51" s="16">
        <v>1153</v>
      </c>
      <c r="P51" s="16">
        <v>1286</v>
      </c>
      <c r="Q51" s="16">
        <v>744</v>
      </c>
      <c r="R51" s="16">
        <v>781</v>
      </c>
      <c r="S51" s="16">
        <v>917</v>
      </c>
      <c r="T51" s="16">
        <v>1161</v>
      </c>
      <c r="U51" s="16">
        <v>1447</v>
      </c>
      <c r="V51" t="s">
        <v>29</v>
      </c>
      <c r="W51" s="12" t="s">
        <v>30</v>
      </c>
    </row>
    <row r="52" spans="1:23" x14ac:dyDescent="0.25">
      <c r="A52" t="s">
        <v>101</v>
      </c>
      <c r="D52" s="13">
        <v>38500</v>
      </c>
      <c r="E52" s="14" t="s">
        <v>21</v>
      </c>
      <c r="F52" s="14" t="s">
        <v>26</v>
      </c>
      <c r="G52" s="15">
        <v>609</v>
      </c>
      <c r="H52" s="15">
        <v>644</v>
      </c>
      <c r="I52" s="15">
        <v>848</v>
      </c>
      <c r="J52" s="15">
        <v>1205</v>
      </c>
      <c r="K52" s="15">
        <v>1271</v>
      </c>
      <c r="L52" s="16">
        <v>590</v>
      </c>
      <c r="M52" s="16">
        <v>621</v>
      </c>
      <c r="N52" s="16">
        <v>817</v>
      </c>
      <c r="O52" s="16">
        <v>945</v>
      </c>
      <c r="P52" s="16">
        <v>1055</v>
      </c>
      <c r="Q52" s="16">
        <v>590</v>
      </c>
      <c r="R52" s="16">
        <v>621</v>
      </c>
      <c r="S52" s="16">
        <v>817</v>
      </c>
      <c r="T52" s="16">
        <v>1124</v>
      </c>
      <c r="U52" s="16">
        <v>1220</v>
      </c>
      <c r="W52" s="12" t="s">
        <v>69</v>
      </c>
    </row>
    <row r="53" spans="1:23" x14ac:dyDescent="0.25">
      <c r="A53" t="s">
        <v>102</v>
      </c>
      <c r="D53" s="13">
        <v>41000</v>
      </c>
      <c r="E53" s="14" t="s">
        <v>26</v>
      </c>
      <c r="F53" s="14" t="s">
        <v>26</v>
      </c>
      <c r="G53" s="15">
        <v>848</v>
      </c>
      <c r="H53" s="15">
        <v>1002</v>
      </c>
      <c r="I53" s="15">
        <v>1182</v>
      </c>
      <c r="J53" s="15">
        <v>1524</v>
      </c>
      <c r="K53" s="15">
        <v>1770</v>
      </c>
      <c r="L53" s="16">
        <v>686</v>
      </c>
      <c r="M53" s="16">
        <v>735</v>
      </c>
      <c r="N53" s="16">
        <v>882</v>
      </c>
      <c r="O53" s="16">
        <v>1019</v>
      </c>
      <c r="P53" s="16">
        <v>1137</v>
      </c>
      <c r="Q53" s="16">
        <v>786</v>
      </c>
      <c r="R53" s="16">
        <v>927</v>
      </c>
      <c r="S53" s="16">
        <v>1089</v>
      </c>
      <c r="T53" s="16">
        <v>1291</v>
      </c>
      <c r="U53" s="16">
        <v>1421</v>
      </c>
      <c r="V53" t="s">
        <v>68</v>
      </c>
      <c r="W53" s="12" t="s">
        <v>69</v>
      </c>
    </row>
    <row r="54" spans="1:23" x14ac:dyDescent="0.25">
      <c r="A54" t="s">
        <v>103</v>
      </c>
      <c r="B54" t="s">
        <v>104</v>
      </c>
      <c r="C54" t="s">
        <v>21</v>
      </c>
      <c r="D54" s="13">
        <v>28650</v>
      </c>
      <c r="E54" s="14" t="s">
        <v>21</v>
      </c>
      <c r="F54" s="14" t="s">
        <v>26</v>
      </c>
      <c r="G54" s="15">
        <v>558</v>
      </c>
      <c r="H54" s="15">
        <v>562</v>
      </c>
      <c r="I54" s="15">
        <v>740</v>
      </c>
      <c r="J54" s="15">
        <v>958</v>
      </c>
      <c r="K54" s="15">
        <v>1143</v>
      </c>
      <c r="L54" s="16">
        <v>473</v>
      </c>
      <c r="M54" s="16">
        <v>507</v>
      </c>
      <c r="N54" s="16">
        <v>608</v>
      </c>
      <c r="O54" s="16">
        <v>703</v>
      </c>
      <c r="P54" s="16">
        <v>785</v>
      </c>
      <c r="Q54" s="16">
        <v>533</v>
      </c>
      <c r="R54" s="16">
        <v>537</v>
      </c>
      <c r="S54" s="16">
        <v>706</v>
      </c>
      <c r="T54" s="16">
        <v>880</v>
      </c>
      <c r="U54" s="16">
        <v>963</v>
      </c>
      <c r="W54" s="12" t="s">
        <v>23</v>
      </c>
    </row>
    <row r="55" spans="1:23" x14ac:dyDescent="0.25">
      <c r="A55" t="s">
        <v>105</v>
      </c>
      <c r="B55" t="s">
        <v>106</v>
      </c>
      <c r="C55" t="s">
        <v>21</v>
      </c>
      <c r="D55" s="13">
        <v>40500</v>
      </c>
      <c r="E55" s="14" t="s">
        <v>21</v>
      </c>
      <c r="F55" s="14" t="s">
        <v>26</v>
      </c>
      <c r="G55" s="15">
        <v>658</v>
      </c>
      <c r="H55" s="15">
        <v>871</v>
      </c>
      <c r="I55" s="15">
        <v>984</v>
      </c>
      <c r="J55" s="15">
        <v>1291</v>
      </c>
      <c r="K55" s="15">
        <v>1670</v>
      </c>
      <c r="L55" s="16">
        <v>608</v>
      </c>
      <c r="M55" s="16">
        <v>717</v>
      </c>
      <c r="N55" s="16">
        <v>861</v>
      </c>
      <c r="O55" s="16">
        <v>995</v>
      </c>
      <c r="P55" s="16">
        <v>1110</v>
      </c>
      <c r="Q55" s="16">
        <v>608</v>
      </c>
      <c r="R55" s="16">
        <v>781</v>
      </c>
      <c r="S55" s="16">
        <v>890</v>
      </c>
      <c r="T55" s="16">
        <v>1202</v>
      </c>
      <c r="U55" s="16">
        <v>1385</v>
      </c>
      <c r="V55" t="s">
        <v>73</v>
      </c>
      <c r="W55" s="12" t="s">
        <v>23</v>
      </c>
    </row>
    <row r="56" spans="1:23" x14ac:dyDescent="0.25">
      <c r="A56" t="s">
        <v>107</v>
      </c>
      <c r="D56" s="13">
        <v>29950</v>
      </c>
      <c r="E56" s="14" t="s">
        <v>26</v>
      </c>
      <c r="F56" s="14" t="s">
        <v>26</v>
      </c>
      <c r="G56" s="15">
        <v>612</v>
      </c>
      <c r="H56" s="15">
        <v>680</v>
      </c>
      <c r="I56" s="15">
        <v>865</v>
      </c>
      <c r="J56" s="15">
        <v>1109</v>
      </c>
      <c r="K56" s="15">
        <v>1327</v>
      </c>
      <c r="L56" s="16">
        <v>496</v>
      </c>
      <c r="M56" s="16">
        <v>531</v>
      </c>
      <c r="N56" s="16">
        <v>637</v>
      </c>
      <c r="O56" s="16">
        <v>736</v>
      </c>
      <c r="P56" s="16">
        <v>821</v>
      </c>
      <c r="Q56" s="16">
        <v>568</v>
      </c>
      <c r="R56" s="16">
        <v>671</v>
      </c>
      <c r="S56" s="16">
        <v>807</v>
      </c>
      <c r="T56" s="16">
        <v>923</v>
      </c>
      <c r="U56" s="16">
        <v>1010</v>
      </c>
      <c r="W56" s="12" t="s">
        <v>23</v>
      </c>
    </row>
    <row r="57" spans="1:23" x14ac:dyDescent="0.25">
      <c r="A57" t="s">
        <v>108</v>
      </c>
      <c r="D57" s="13">
        <v>41000</v>
      </c>
      <c r="E57" s="14" t="s">
        <v>21</v>
      </c>
      <c r="F57" s="14" t="s">
        <v>21</v>
      </c>
      <c r="G57" s="15">
        <v>848</v>
      </c>
      <c r="H57" s="15">
        <v>1002</v>
      </c>
      <c r="I57" s="15">
        <v>1182</v>
      </c>
      <c r="J57" s="15">
        <v>1524</v>
      </c>
      <c r="K57" s="15">
        <v>1770</v>
      </c>
      <c r="L57" s="16">
        <v>686</v>
      </c>
      <c r="M57" s="16">
        <v>735</v>
      </c>
      <c r="N57" s="16">
        <v>882</v>
      </c>
      <c r="O57" s="16">
        <v>1019</v>
      </c>
      <c r="P57" s="16">
        <v>1137</v>
      </c>
      <c r="Q57" s="16">
        <v>786</v>
      </c>
      <c r="R57" s="16">
        <v>927</v>
      </c>
      <c r="S57" s="16">
        <v>1089</v>
      </c>
      <c r="T57" s="16">
        <v>1291</v>
      </c>
      <c r="U57" s="16">
        <v>1421</v>
      </c>
      <c r="V57" t="s">
        <v>68</v>
      </c>
      <c r="W57" s="12" t="s">
        <v>69</v>
      </c>
    </row>
    <row r="58" spans="1:23" x14ac:dyDescent="0.25">
      <c r="A58" t="s">
        <v>109</v>
      </c>
      <c r="D58" s="13">
        <v>35800</v>
      </c>
      <c r="E58" s="14" t="s">
        <v>21</v>
      </c>
      <c r="F58" s="14" t="s">
        <v>21</v>
      </c>
      <c r="G58" s="15">
        <v>775</v>
      </c>
      <c r="H58" s="15">
        <v>780</v>
      </c>
      <c r="I58" s="15">
        <v>996</v>
      </c>
      <c r="J58" s="15">
        <v>1212</v>
      </c>
      <c r="K58" s="15">
        <v>1338</v>
      </c>
      <c r="L58" s="16">
        <v>592</v>
      </c>
      <c r="M58" s="16">
        <v>634</v>
      </c>
      <c r="N58" s="16">
        <v>761</v>
      </c>
      <c r="O58" s="16">
        <v>879</v>
      </c>
      <c r="P58" s="16">
        <v>981</v>
      </c>
      <c r="Q58" s="16">
        <v>709</v>
      </c>
      <c r="R58" s="16">
        <v>714</v>
      </c>
      <c r="S58" s="16">
        <v>913</v>
      </c>
      <c r="T58" s="16">
        <v>1109</v>
      </c>
      <c r="U58" s="16">
        <v>1218</v>
      </c>
      <c r="V58" t="s">
        <v>110</v>
      </c>
      <c r="W58" s="12" t="s">
        <v>30</v>
      </c>
    </row>
    <row r="59" spans="1:23" x14ac:dyDescent="0.25">
      <c r="A59" t="s">
        <v>111</v>
      </c>
      <c r="D59" s="13">
        <v>28650</v>
      </c>
      <c r="E59" s="14" t="s">
        <v>26</v>
      </c>
      <c r="F59" s="14" t="s">
        <v>26</v>
      </c>
      <c r="G59" s="15">
        <v>558</v>
      </c>
      <c r="H59" s="15">
        <v>562</v>
      </c>
      <c r="I59" s="15">
        <v>740</v>
      </c>
      <c r="J59" s="15">
        <v>1052</v>
      </c>
      <c r="K59" s="15">
        <v>1076</v>
      </c>
      <c r="L59" s="16">
        <v>473</v>
      </c>
      <c r="M59" s="16">
        <v>507</v>
      </c>
      <c r="N59" s="16">
        <v>608</v>
      </c>
      <c r="O59" s="16">
        <v>703</v>
      </c>
      <c r="P59" s="16">
        <v>785</v>
      </c>
      <c r="Q59" s="16">
        <v>529</v>
      </c>
      <c r="R59" s="16">
        <v>611</v>
      </c>
      <c r="S59" s="16">
        <v>696</v>
      </c>
      <c r="T59" s="16">
        <v>880</v>
      </c>
      <c r="U59" s="16">
        <v>963</v>
      </c>
      <c r="W59" s="12" t="s">
        <v>46</v>
      </c>
    </row>
    <row r="60" spans="1:23" x14ac:dyDescent="0.25">
      <c r="A60" t="s">
        <v>112</v>
      </c>
      <c r="D60" s="13">
        <v>36750</v>
      </c>
      <c r="E60" s="14" t="s">
        <v>26</v>
      </c>
      <c r="F60" s="14" t="s">
        <v>26</v>
      </c>
      <c r="G60" s="15">
        <v>656</v>
      </c>
      <c r="H60" s="15">
        <v>780</v>
      </c>
      <c r="I60" s="15">
        <v>981</v>
      </c>
      <c r="J60" s="15">
        <v>1266</v>
      </c>
      <c r="K60" s="15">
        <v>1428</v>
      </c>
      <c r="L60" s="16">
        <v>598</v>
      </c>
      <c r="M60" s="16">
        <v>651</v>
      </c>
      <c r="N60" s="16">
        <v>781</v>
      </c>
      <c r="O60" s="16">
        <v>902</v>
      </c>
      <c r="P60" s="16">
        <v>1007</v>
      </c>
      <c r="Q60" s="16">
        <v>598</v>
      </c>
      <c r="R60" s="16">
        <v>700</v>
      </c>
      <c r="S60" s="16">
        <v>890</v>
      </c>
      <c r="T60" s="16">
        <v>1139</v>
      </c>
      <c r="U60" s="16">
        <v>1251</v>
      </c>
      <c r="V60" t="s">
        <v>75</v>
      </c>
      <c r="W60" s="12" t="s">
        <v>23</v>
      </c>
    </row>
    <row r="61" spans="1:23" x14ac:dyDescent="0.25">
      <c r="A61" t="s">
        <v>113</v>
      </c>
      <c r="B61" t="s">
        <v>114</v>
      </c>
      <c r="C61" t="s">
        <v>21</v>
      </c>
      <c r="D61" s="13">
        <v>30950</v>
      </c>
      <c r="E61" s="14" t="s">
        <v>21</v>
      </c>
      <c r="F61" s="14" t="s">
        <v>26</v>
      </c>
      <c r="G61" s="15">
        <v>665</v>
      </c>
      <c r="H61" s="15">
        <v>669</v>
      </c>
      <c r="I61" s="15">
        <v>881</v>
      </c>
      <c r="J61" s="15">
        <v>1093</v>
      </c>
      <c r="K61" s="15">
        <v>1184</v>
      </c>
      <c r="L61" s="16">
        <v>512</v>
      </c>
      <c r="M61" s="16">
        <v>548</v>
      </c>
      <c r="N61" s="16">
        <v>658</v>
      </c>
      <c r="O61" s="16">
        <v>760</v>
      </c>
      <c r="P61" s="16">
        <v>848</v>
      </c>
      <c r="Q61" s="16">
        <v>615</v>
      </c>
      <c r="R61" s="16">
        <v>619</v>
      </c>
      <c r="S61" s="16">
        <v>815</v>
      </c>
      <c r="T61" s="16">
        <v>955</v>
      </c>
      <c r="U61" s="16">
        <v>1046</v>
      </c>
      <c r="V61" t="s">
        <v>89</v>
      </c>
      <c r="W61" s="12" t="s">
        <v>46</v>
      </c>
    </row>
    <row r="62" spans="1:23" x14ac:dyDescent="0.25">
      <c r="A62" t="s">
        <v>115</v>
      </c>
      <c r="B62" t="s">
        <v>116</v>
      </c>
      <c r="C62" t="s">
        <v>21</v>
      </c>
      <c r="D62" s="13">
        <v>37300</v>
      </c>
      <c r="E62" s="14" t="s">
        <v>21</v>
      </c>
      <c r="F62" s="14" t="s">
        <v>21</v>
      </c>
      <c r="G62" s="15">
        <v>581</v>
      </c>
      <c r="H62" s="15">
        <v>722</v>
      </c>
      <c r="I62" s="15">
        <v>815</v>
      </c>
      <c r="J62" s="15">
        <v>1040</v>
      </c>
      <c r="K62" s="15">
        <v>1095</v>
      </c>
      <c r="L62" s="16">
        <v>542</v>
      </c>
      <c r="M62" s="16">
        <v>641</v>
      </c>
      <c r="N62" s="16">
        <v>730</v>
      </c>
      <c r="O62" s="16">
        <v>916</v>
      </c>
      <c r="P62" s="16">
        <v>990</v>
      </c>
      <c r="Q62" s="16">
        <v>542</v>
      </c>
      <c r="R62" s="16">
        <v>641</v>
      </c>
      <c r="S62" s="16">
        <v>730</v>
      </c>
      <c r="T62" s="16">
        <v>955</v>
      </c>
      <c r="U62" s="16">
        <v>990</v>
      </c>
      <c r="V62" t="s">
        <v>22</v>
      </c>
      <c r="W62" s="12" t="s">
        <v>23</v>
      </c>
    </row>
    <row r="63" spans="1:23" x14ac:dyDescent="0.25">
      <c r="A63" t="s">
        <v>117</v>
      </c>
      <c r="B63" t="s">
        <v>118</v>
      </c>
      <c r="C63" t="s">
        <v>21</v>
      </c>
      <c r="D63" s="13">
        <v>34450</v>
      </c>
      <c r="E63" s="14" t="s">
        <v>21</v>
      </c>
      <c r="F63" s="14" t="s">
        <v>26</v>
      </c>
      <c r="G63" s="15">
        <v>725</v>
      </c>
      <c r="H63" s="15">
        <v>730</v>
      </c>
      <c r="I63" s="15">
        <v>961</v>
      </c>
      <c r="J63" s="15">
        <v>1209</v>
      </c>
      <c r="K63" s="15">
        <v>1369</v>
      </c>
      <c r="L63" s="16">
        <v>577</v>
      </c>
      <c r="M63" s="16">
        <v>618</v>
      </c>
      <c r="N63" s="16">
        <v>742</v>
      </c>
      <c r="O63" s="16">
        <v>858</v>
      </c>
      <c r="P63" s="16">
        <v>957</v>
      </c>
      <c r="Q63" s="16">
        <v>663</v>
      </c>
      <c r="R63" s="16">
        <v>705</v>
      </c>
      <c r="S63" s="16">
        <v>928</v>
      </c>
      <c r="T63" s="16">
        <v>1082</v>
      </c>
      <c r="U63" s="16">
        <v>1188</v>
      </c>
      <c r="W63" s="12" t="s">
        <v>33</v>
      </c>
    </row>
    <row r="64" spans="1:23" x14ac:dyDescent="0.25">
      <c r="A64" t="s">
        <v>119</v>
      </c>
      <c r="D64" s="13">
        <v>28650</v>
      </c>
      <c r="E64" s="14" t="s">
        <v>21</v>
      </c>
      <c r="F64" s="14" t="s">
        <v>21</v>
      </c>
      <c r="G64" s="15">
        <v>627</v>
      </c>
      <c r="H64" s="15">
        <v>655</v>
      </c>
      <c r="I64" s="15">
        <v>740</v>
      </c>
      <c r="J64" s="15">
        <v>1052</v>
      </c>
      <c r="K64" s="15">
        <v>1141</v>
      </c>
      <c r="L64" s="16">
        <v>473</v>
      </c>
      <c r="M64" s="16">
        <v>507</v>
      </c>
      <c r="N64" s="16">
        <v>608</v>
      </c>
      <c r="O64" s="16">
        <v>703</v>
      </c>
      <c r="P64" s="16">
        <v>785</v>
      </c>
      <c r="Q64" s="16">
        <v>590</v>
      </c>
      <c r="R64" s="16">
        <v>611</v>
      </c>
      <c r="S64" s="16">
        <v>696</v>
      </c>
      <c r="T64" s="16">
        <v>880</v>
      </c>
      <c r="U64" s="16">
        <v>963</v>
      </c>
      <c r="W64" s="12" t="s">
        <v>30</v>
      </c>
    </row>
    <row r="65" spans="1:23" x14ac:dyDescent="0.25">
      <c r="A65" t="s">
        <v>120</v>
      </c>
      <c r="D65" s="13">
        <v>28650</v>
      </c>
      <c r="E65" s="14" t="s">
        <v>21</v>
      </c>
      <c r="F65" s="14" t="s">
        <v>26</v>
      </c>
      <c r="G65" s="15">
        <v>558</v>
      </c>
      <c r="H65" s="15">
        <v>562</v>
      </c>
      <c r="I65" s="15">
        <v>740</v>
      </c>
      <c r="J65" s="15">
        <v>999</v>
      </c>
      <c r="K65" s="15">
        <v>1002</v>
      </c>
      <c r="L65" s="16">
        <v>473</v>
      </c>
      <c r="M65" s="16">
        <v>507</v>
      </c>
      <c r="N65" s="16">
        <v>608</v>
      </c>
      <c r="O65" s="16">
        <v>703</v>
      </c>
      <c r="P65" s="16">
        <v>785</v>
      </c>
      <c r="Q65" s="16">
        <v>529</v>
      </c>
      <c r="R65" s="16">
        <v>537</v>
      </c>
      <c r="S65" s="16">
        <v>696</v>
      </c>
      <c r="T65" s="16">
        <v>880</v>
      </c>
      <c r="U65" s="16">
        <v>963</v>
      </c>
      <c r="V65" t="s">
        <v>121</v>
      </c>
      <c r="W65" s="12" t="s">
        <v>37</v>
      </c>
    </row>
    <row r="66" spans="1:23" x14ac:dyDescent="0.25">
      <c r="A66" t="s">
        <v>122</v>
      </c>
      <c r="D66" s="13">
        <v>42150</v>
      </c>
      <c r="E66" s="14" t="s">
        <v>21</v>
      </c>
      <c r="F66" s="14" t="s">
        <v>26</v>
      </c>
      <c r="G66" s="15">
        <v>859</v>
      </c>
      <c r="H66" s="15">
        <v>876</v>
      </c>
      <c r="I66" s="15">
        <v>1005</v>
      </c>
      <c r="J66" s="15">
        <v>1266</v>
      </c>
      <c r="K66" s="15">
        <v>1644</v>
      </c>
      <c r="L66" s="16">
        <v>744</v>
      </c>
      <c r="M66" s="16">
        <v>781</v>
      </c>
      <c r="N66" s="16">
        <v>917</v>
      </c>
      <c r="O66" s="16">
        <v>1153</v>
      </c>
      <c r="P66" s="16">
        <v>1286</v>
      </c>
      <c r="Q66" s="16">
        <v>744</v>
      </c>
      <c r="R66" s="16">
        <v>781</v>
      </c>
      <c r="S66" s="16">
        <v>917</v>
      </c>
      <c r="T66" s="16">
        <v>1161</v>
      </c>
      <c r="U66" s="16">
        <v>1447</v>
      </c>
      <c r="V66" t="s">
        <v>29</v>
      </c>
      <c r="W66" s="12" t="s">
        <v>30</v>
      </c>
    </row>
    <row r="67" spans="1:23" x14ac:dyDescent="0.25">
      <c r="A67" t="s">
        <v>123</v>
      </c>
      <c r="D67" s="13">
        <v>29600</v>
      </c>
      <c r="E67" s="14" t="s">
        <v>21</v>
      </c>
      <c r="F67" s="14" t="s">
        <v>26</v>
      </c>
      <c r="G67" s="15">
        <v>558</v>
      </c>
      <c r="H67" s="15">
        <v>562</v>
      </c>
      <c r="I67" s="15">
        <v>740</v>
      </c>
      <c r="J67" s="15">
        <v>981</v>
      </c>
      <c r="K67" s="15">
        <v>1076</v>
      </c>
      <c r="L67" s="16">
        <v>490</v>
      </c>
      <c r="M67" s="16">
        <v>525</v>
      </c>
      <c r="N67" s="16">
        <v>630</v>
      </c>
      <c r="O67" s="16">
        <v>726</v>
      </c>
      <c r="P67" s="16">
        <v>811</v>
      </c>
      <c r="Q67" s="16">
        <v>529</v>
      </c>
      <c r="R67" s="16">
        <v>529</v>
      </c>
      <c r="S67" s="16">
        <v>696</v>
      </c>
      <c r="T67" s="16">
        <v>912</v>
      </c>
      <c r="U67" s="16">
        <v>998</v>
      </c>
      <c r="W67" s="12" t="s">
        <v>46</v>
      </c>
    </row>
    <row r="68" spans="1:23" x14ac:dyDescent="0.25">
      <c r="A68" t="s">
        <v>124</v>
      </c>
      <c r="D68" s="13">
        <v>42150</v>
      </c>
      <c r="E68" s="14" t="s">
        <v>21</v>
      </c>
      <c r="F68" s="14" t="s">
        <v>26</v>
      </c>
      <c r="G68" s="15">
        <v>859</v>
      </c>
      <c r="H68" s="15">
        <v>876</v>
      </c>
      <c r="I68" s="15">
        <v>1005</v>
      </c>
      <c r="J68" s="15">
        <v>1266</v>
      </c>
      <c r="K68" s="15">
        <v>1644</v>
      </c>
      <c r="L68" s="16">
        <v>744</v>
      </c>
      <c r="M68" s="16">
        <v>781</v>
      </c>
      <c r="N68" s="16">
        <v>917</v>
      </c>
      <c r="O68" s="16">
        <v>1153</v>
      </c>
      <c r="P68" s="16">
        <v>1286</v>
      </c>
      <c r="Q68" s="16">
        <v>744</v>
      </c>
      <c r="R68" s="16">
        <v>781</v>
      </c>
      <c r="S68" s="16">
        <v>917</v>
      </c>
      <c r="T68" s="16">
        <v>1161</v>
      </c>
      <c r="U68" s="16">
        <v>1447</v>
      </c>
      <c r="V68" t="s">
        <v>29</v>
      </c>
      <c r="W68" s="12" t="s">
        <v>30</v>
      </c>
    </row>
    <row r="69" spans="1:23" x14ac:dyDescent="0.25">
      <c r="A69" t="s">
        <v>125</v>
      </c>
      <c r="B69" t="s">
        <v>126</v>
      </c>
      <c r="C69" t="s">
        <v>21</v>
      </c>
      <c r="D69" s="13">
        <v>28650</v>
      </c>
      <c r="E69" s="14" t="s">
        <v>21</v>
      </c>
      <c r="F69" s="14" t="s">
        <v>26</v>
      </c>
      <c r="G69" s="15">
        <v>567</v>
      </c>
      <c r="H69" s="15">
        <v>579</v>
      </c>
      <c r="I69" s="15">
        <v>740</v>
      </c>
      <c r="J69" s="15">
        <v>1023</v>
      </c>
      <c r="K69" s="15">
        <v>1055</v>
      </c>
      <c r="L69" s="16">
        <v>473</v>
      </c>
      <c r="M69" s="16">
        <v>507</v>
      </c>
      <c r="N69" s="16">
        <v>608</v>
      </c>
      <c r="O69" s="16">
        <v>703</v>
      </c>
      <c r="P69" s="16">
        <v>785</v>
      </c>
      <c r="Q69" s="16">
        <v>529</v>
      </c>
      <c r="R69" s="16">
        <v>529</v>
      </c>
      <c r="S69" s="16">
        <v>696</v>
      </c>
      <c r="T69" s="16">
        <v>880</v>
      </c>
      <c r="U69" s="16">
        <v>963</v>
      </c>
      <c r="W69" s="12" t="s">
        <v>33</v>
      </c>
    </row>
    <row r="71" spans="1:23" x14ac:dyDescent="0.25">
      <c r="A71" t="s">
        <v>127</v>
      </c>
      <c r="D71" s="14">
        <f>COUNT(D5:D70)</f>
        <v>64</v>
      </c>
      <c r="E71" s="14">
        <f>COUNTIF(E5:E70,"Yes")</f>
        <v>51</v>
      </c>
      <c r="F71" s="14">
        <f>COUNTIF(F5:F70,"Yes")</f>
        <v>10</v>
      </c>
    </row>
    <row r="73" spans="1:23" x14ac:dyDescent="0.25">
      <c r="G73" s="15"/>
      <c r="H73" s="15"/>
      <c r="I73" s="15"/>
      <c r="J73" s="15"/>
      <c r="K73" s="15"/>
    </row>
    <row r="74" spans="1:23" x14ac:dyDescent="0.25">
      <c r="G74" s="15"/>
      <c r="H74" s="15"/>
      <c r="I74" s="15"/>
      <c r="J74" s="15"/>
      <c r="K74" s="15"/>
    </row>
    <row r="75" spans="1:23" x14ac:dyDescent="0.25">
      <c r="G75" s="15"/>
      <c r="H75" s="15"/>
      <c r="I75" s="15"/>
      <c r="J75" s="15"/>
      <c r="K75" s="15"/>
    </row>
    <row r="76" spans="1:23" x14ac:dyDescent="0.25">
      <c r="G76" s="15"/>
      <c r="H76" s="15"/>
      <c r="I76" s="15"/>
      <c r="J76" s="15"/>
      <c r="K76" s="15"/>
    </row>
    <row r="77" spans="1:23" x14ac:dyDescent="0.25">
      <c r="G77" s="15"/>
      <c r="H77" s="15"/>
      <c r="I77" s="15"/>
      <c r="J77" s="15"/>
      <c r="K77" s="15"/>
    </row>
  </sheetData>
  <mergeCells count="3">
    <mergeCell ref="G3:K3"/>
    <mergeCell ref="L3:P3"/>
    <mergeCell ref="Q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D3E8-99F2-4094-88E6-4EF9B6693A4F}">
  <dimension ref="A1:J144"/>
  <sheetViews>
    <sheetView topLeftCell="A115" workbookViewId="0">
      <selection activeCell="A130" sqref="A130"/>
    </sheetView>
  </sheetViews>
  <sheetFormatPr defaultColWidth="9.140625" defaultRowHeight="15" x14ac:dyDescent="0.25"/>
  <cols>
    <col min="1" max="1" width="13.5703125" customWidth="1"/>
    <col min="2" max="2" width="10.28515625" bestFit="1" customWidth="1"/>
    <col min="3" max="4" width="9.28515625" bestFit="1" customWidth="1"/>
    <col min="5" max="5" width="11.7109375" style="18" customWidth="1"/>
    <col min="6" max="6" width="15.5703125" customWidth="1"/>
    <col min="7" max="7" width="3.140625" customWidth="1"/>
    <col min="9" max="9" width="9.28515625" bestFit="1" customWidth="1"/>
  </cols>
  <sheetData>
    <row r="1" spans="1:9" ht="21" x14ac:dyDescent="0.35">
      <c r="A1" s="1" t="str">
        <f>+'BASIC INPUT'!$B$1</f>
        <v>Middle Market Loan Program - Laura Delta Ida (MMLP-LDI) - REV for NOFA AMENDMENT #1</v>
      </c>
      <c r="B1" s="17"/>
      <c r="C1" s="17"/>
      <c r="D1" s="17"/>
    </row>
    <row r="2" spans="1:9" ht="21" x14ac:dyDescent="0.35">
      <c r="A2" s="2" t="str">
        <f>"AMI Rents for "&amp;'BASIC INPUT'!C4</f>
        <v xml:space="preserve">AMI Rents for </v>
      </c>
      <c r="B2" s="17"/>
      <c r="C2" s="17"/>
      <c r="F2" s="19"/>
      <c r="G2" s="2"/>
    </row>
    <row r="4" spans="1:9" x14ac:dyDescent="0.25">
      <c r="A4" t="s">
        <v>128</v>
      </c>
      <c r="B4" s="20">
        <f>VLOOKUP(E4,'REF AMIS'!A5:D69,4,TRUE)*2</f>
        <v>84300</v>
      </c>
      <c r="C4" s="21" t="s">
        <v>129</v>
      </c>
      <c r="E4" s="18" t="str">
        <f>'BASIC INPUT'!C5</f>
        <v>East Baton Rouge</v>
      </c>
    </row>
    <row r="6" spans="1:9" x14ac:dyDescent="0.25">
      <c r="A6" s="22">
        <v>0.2</v>
      </c>
      <c r="B6" s="23" t="s">
        <v>130</v>
      </c>
      <c r="C6" s="24"/>
      <c r="D6" s="24"/>
      <c r="E6" s="25"/>
      <c r="F6" s="24"/>
      <c r="G6" s="26"/>
    </row>
    <row r="7" spans="1:9" x14ac:dyDescent="0.25">
      <c r="A7" s="27" t="s">
        <v>131</v>
      </c>
      <c r="B7" s="28">
        <f>ROUND(B10*I7/50,0)* 50</f>
        <v>11800</v>
      </c>
      <c r="C7" s="12" t="s">
        <v>0</v>
      </c>
      <c r="D7" s="29">
        <f>B7</f>
        <v>11800</v>
      </c>
      <c r="E7" s="30">
        <f t="shared" ref="E7:E12" si="0">D7*0.3/12</f>
        <v>295</v>
      </c>
      <c r="F7" s="12" t="str">
        <f t="shared" ref="F7:F12" si="1">C7&amp;" Gross Rent"</f>
        <v>0BR Gross Rent</v>
      </c>
      <c r="G7" s="31"/>
      <c r="I7" s="32">
        <v>0.7</v>
      </c>
    </row>
    <row r="8" spans="1:9" x14ac:dyDescent="0.25">
      <c r="A8" s="27" t="s">
        <v>132</v>
      </c>
      <c r="B8" s="28">
        <f>ROUND(B10*I8/50,0)* 50</f>
        <v>13500</v>
      </c>
      <c r="C8" s="12" t="s">
        <v>1</v>
      </c>
      <c r="D8" s="29">
        <f>(B7+B8)/2</f>
        <v>12650</v>
      </c>
      <c r="E8" s="30">
        <f t="shared" si="0"/>
        <v>316.25</v>
      </c>
      <c r="F8" s="12" t="str">
        <f t="shared" si="1"/>
        <v>1BR Gross Rent</v>
      </c>
      <c r="G8" s="31"/>
      <c r="I8" s="32">
        <v>0.8</v>
      </c>
    </row>
    <row r="9" spans="1:9" x14ac:dyDescent="0.25">
      <c r="A9" s="27" t="s">
        <v>133</v>
      </c>
      <c r="B9" s="28">
        <f>ROUND(B10*I9/50,0)* 50</f>
        <v>15150</v>
      </c>
      <c r="C9" s="12" t="s">
        <v>2</v>
      </c>
      <c r="D9" s="29">
        <f>B9</f>
        <v>15150</v>
      </c>
      <c r="E9" s="30">
        <f t="shared" si="0"/>
        <v>378.75</v>
      </c>
      <c r="F9" s="12" t="str">
        <f t="shared" si="1"/>
        <v>2BR Gross Rent</v>
      </c>
      <c r="G9" s="31"/>
      <c r="I9" s="32">
        <v>0.9</v>
      </c>
    </row>
    <row r="10" spans="1:9" x14ac:dyDescent="0.25">
      <c r="A10" s="27" t="s">
        <v>134</v>
      </c>
      <c r="B10" s="33">
        <f>ROUND($B$4*A6,0)</f>
        <v>16860</v>
      </c>
      <c r="C10" s="12" t="s">
        <v>3</v>
      </c>
      <c r="D10" s="29">
        <f>(B10+B11)/2</f>
        <v>17530</v>
      </c>
      <c r="E10" s="30">
        <f t="shared" si="0"/>
        <v>438.25</v>
      </c>
      <c r="F10" s="12" t="str">
        <f t="shared" si="1"/>
        <v>3BR Gross Rent</v>
      </c>
      <c r="G10" s="34"/>
      <c r="I10" s="32">
        <v>1</v>
      </c>
    </row>
    <row r="11" spans="1:9" x14ac:dyDescent="0.25">
      <c r="A11" s="27" t="s">
        <v>135</v>
      </c>
      <c r="B11" s="28">
        <f>ROUND(B10*I11/50,0)* 50</f>
        <v>18200</v>
      </c>
      <c r="C11" s="35" t="s">
        <v>4</v>
      </c>
      <c r="D11" s="29">
        <f>B12</f>
        <v>19550</v>
      </c>
      <c r="E11" s="30">
        <f t="shared" si="0"/>
        <v>488.75</v>
      </c>
      <c r="F11" s="12" t="str">
        <f t="shared" si="1"/>
        <v>4BR Gross Rent</v>
      </c>
      <c r="G11" s="31"/>
      <c r="I11" s="32">
        <v>1.08</v>
      </c>
    </row>
    <row r="12" spans="1:9" x14ac:dyDescent="0.25">
      <c r="A12" s="27" t="s">
        <v>136</v>
      </c>
      <c r="B12" s="28">
        <f>ROUND(B10*I12/50,0)* 50</f>
        <v>19550</v>
      </c>
      <c r="C12" s="35" t="s">
        <v>137</v>
      </c>
      <c r="D12" s="29">
        <f>(B14+B13)/2</f>
        <v>21575</v>
      </c>
      <c r="E12" s="30">
        <f t="shared" si="0"/>
        <v>539.375</v>
      </c>
      <c r="F12" s="12" t="str">
        <f t="shared" si="1"/>
        <v>5BR Gross Rent</v>
      </c>
      <c r="G12" s="31"/>
      <c r="I12" s="32">
        <v>1.1599999999999999</v>
      </c>
    </row>
    <row r="13" spans="1:9" x14ac:dyDescent="0.25">
      <c r="A13" s="36" t="s">
        <v>138</v>
      </c>
      <c r="B13" s="28">
        <f>ROUND(B10*I13/50,0)* 50</f>
        <v>20900</v>
      </c>
      <c r="C13" s="35"/>
      <c r="D13" s="29"/>
      <c r="E13" s="30"/>
      <c r="F13" s="12"/>
      <c r="G13" s="31"/>
      <c r="I13" s="32">
        <f>+I12+8%</f>
        <v>1.24</v>
      </c>
    </row>
    <row r="14" spans="1:9" x14ac:dyDescent="0.25">
      <c r="A14" s="36" t="s">
        <v>139</v>
      </c>
      <c r="B14" s="28">
        <f>ROUND(B10*I14/50,0)* 50</f>
        <v>22250</v>
      </c>
      <c r="C14" s="35"/>
      <c r="D14" s="29"/>
      <c r="E14" s="30"/>
      <c r="F14" s="12"/>
      <c r="G14" s="31"/>
      <c r="I14" s="32">
        <f>+I13+8%</f>
        <v>1.32</v>
      </c>
    </row>
    <row r="15" spans="1:9" x14ac:dyDescent="0.25">
      <c r="A15" s="37"/>
      <c r="B15" s="38"/>
      <c r="C15" s="38"/>
      <c r="D15" s="38"/>
      <c r="E15" s="39"/>
      <c r="F15" s="38"/>
      <c r="G15" s="40"/>
      <c r="I15" s="21"/>
    </row>
    <row r="16" spans="1:9" x14ac:dyDescent="0.25">
      <c r="A16" s="41" t="str">
        <f>"Gross Rents (Rents + Tenant Paid Utilities) at 30% of "&amp;TEXT(A6,"0%")&amp;" of AMI"</f>
        <v>Gross Rents (Rents + Tenant Paid Utilities) at 30% of 20% of AMI</v>
      </c>
      <c r="B16" s="42"/>
      <c r="C16" s="42"/>
      <c r="D16" s="42"/>
      <c r="E16" s="43"/>
      <c r="F16" s="42"/>
      <c r="G16" s="44"/>
    </row>
    <row r="17" spans="1:10" x14ac:dyDescent="0.25">
      <c r="A17" s="45" t="s">
        <v>0</v>
      </c>
      <c r="B17" s="46" t="s">
        <v>1</v>
      </c>
      <c r="C17" s="46" t="s">
        <v>2</v>
      </c>
      <c r="D17" s="46" t="s">
        <v>3</v>
      </c>
      <c r="E17" s="47" t="s">
        <v>4</v>
      </c>
      <c r="F17" s="46" t="s">
        <v>137</v>
      </c>
      <c r="G17" s="48"/>
    </row>
    <row r="18" spans="1:10" x14ac:dyDescent="0.25">
      <c r="A18" s="49">
        <f>ROUNDDOWN(E7,I18)</f>
        <v>295</v>
      </c>
      <c r="B18" s="50">
        <f>ROUNDDOWN(E8,I18)</f>
        <v>316</v>
      </c>
      <c r="C18" s="50">
        <f>ROUNDDOWN(E9,I18)</f>
        <v>378</v>
      </c>
      <c r="D18" s="50">
        <f>ROUNDDOWN(E10,I18)</f>
        <v>438</v>
      </c>
      <c r="E18" s="50">
        <f>ROUNDDOWN(E11,I18)</f>
        <v>488</v>
      </c>
      <c r="F18" s="50">
        <f>ROUNDDOWN(E12,I18)</f>
        <v>539</v>
      </c>
      <c r="G18" s="51"/>
      <c r="I18" s="52">
        <v>0</v>
      </c>
      <c r="J18" t="s">
        <v>140</v>
      </c>
    </row>
    <row r="20" spans="1:10" x14ac:dyDescent="0.25">
      <c r="A20" s="22">
        <v>0.3</v>
      </c>
      <c r="B20" s="23" t="s">
        <v>130</v>
      </c>
      <c r="C20" s="24"/>
      <c r="D20" s="24"/>
      <c r="E20" s="25"/>
      <c r="F20" s="24"/>
      <c r="G20" s="26"/>
    </row>
    <row r="21" spans="1:10" x14ac:dyDescent="0.25">
      <c r="A21" s="27" t="s">
        <v>131</v>
      </c>
      <c r="B21" s="28">
        <f>ROUND(B24*I21/50,0)* 50</f>
        <v>17700</v>
      </c>
      <c r="C21" s="12" t="s">
        <v>0</v>
      </c>
      <c r="D21" s="29">
        <f>B21</f>
        <v>17700</v>
      </c>
      <c r="E21" s="30">
        <f t="shared" ref="E21:E26" si="2">D21*0.3/12</f>
        <v>442.5</v>
      </c>
      <c r="F21" s="12" t="str">
        <f t="shared" ref="F21:F26" si="3">C21&amp;" Gross Rent"</f>
        <v>0BR Gross Rent</v>
      </c>
      <c r="G21" s="31"/>
      <c r="I21" s="32">
        <v>0.7</v>
      </c>
    </row>
    <row r="22" spans="1:10" x14ac:dyDescent="0.25">
      <c r="A22" s="27" t="s">
        <v>132</v>
      </c>
      <c r="B22" s="28">
        <f>ROUND(B24*I22/50,0)* 50</f>
        <v>20250</v>
      </c>
      <c r="C22" s="12" t="s">
        <v>1</v>
      </c>
      <c r="D22" s="29">
        <f>(B21+B22)/2</f>
        <v>18975</v>
      </c>
      <c r="E22" s="30">
        <f t="shared" si="2"/>
        <v>474.375</v>
      </c>
      <c r="F22" s="12" t="str">
        <f t="shared" si="3"/>
        <v>1BR Gross Rent</v>
      </c>
      <c r="G22" s="31"/>
      <c r="I22" s="32">
        <v>0.8</v>
      </c>
    </row>
    <row r="23" spans="1:10" x14ac:dyDescent="0.25">
      <c r="A23" s="27" t="s">
        <v>133</v>
      </c>
      <c r="B23" s="28">
        <f>ROUND(B24*I23/50,0)* 50</f>
        <v>22750</v>
      </c>
      <c r="C23" s="12" t="s">
        <v>2</v>
      </c>
      <c r="D23" s="29">
        <f>B23</f>
        <v>22750</v>
      </c>
      <c r="E23" s="30">
        <f t="shared" si="2"/>
        <v>568.75</v>
      </c>
      <c r="F23" s="12" t="str">
        <f t="shared" si="3"/>
        <v>2BR Gross Rent</v>
      </c>
      <c r="G23" s="31"/>
      <c r="I23" s="32">
        <v>0.9</v>
      </c>
    </row>
    <row r="24" spans="1:10" x14ac:dyDescent="0.25">
      <c r="A24" s="27" t="s">
        <v>134</v>
      </c>
      <c r="B24" s="33">
        <f>ROUND($B$4*A20,0)</f>
        <v>25290</v>
      </c>
      <c r="C24" s="12" t="s">
        <v>3</v>
      </c>
      <c r="D24" s="29">
        <f>(B24+B25)/2</f>
        <v>26295</v>
      </c>
      <c r="E24" s="30">
        <f t="shared" si="2"/>
        <v>657.375</v>
      </c>
      <c r="F24" s="12" t="str">
        <f t="shared" si="3"/>
        <v>3BR Gross Rent</v>
      </c>
      <c r="G24" s="34"/>
      <c r="I24" s="32">
        <v>1</v>
      </c>
    </row>
    <row r="25" spans="1:10" x14ac:dyDescent="0.25">
      <c r="A25" s="27" t="s">
        <v>135</v>
      </c>
      <c r="B25" s="28">
        <f>ROUND(B24*I25/50,0)* 50</f>
        <v>27300</v>
      </c>
      <c r="C25" s="35" t="s">
        <v>4</v>
      </c>
      <c r="D25" s="29">
        <f>B26</f>
        <v>29350</v>
      </c>
      <c r="E25" s="30">
        <f t="shared" si="2"/>
        <v>733.75</v>
      </c>
      <c r="F25" s="12" t="str">
        <f t="shared" si="3"/>
        <v>4BR Gross Rent</v>
      </c>
      <c r="G25" s="31"/>
      <c r="I25" s="32">
        <v>1.08</v>
      </c>
    </row>
    <row r="26" spans="1:10" x14ac:dyDescent="0.25">
      <c r="A26" s="27" t="s">
        <v>136</v>
      </c>
      <c r="B26" s="28">
        <f>ROUND(B24*I26/50,0)* 50</f>
        <v>29350</v>
      </c>
      <c r="C26" s="35" t="s">
        <v>137</v>
      </c>
      <c r="D26" s="29">
        <f>(B28+B27)/2</f>
        <v>32375</v>
      </c>
      <c r="E26" s="30">
        <f t="shared" si="2"/>
        <v>809.375</v>
      </c>
      <c r="F26" s="12" t="str">
        <f t="shared" si="3"/>
        <v>5BR Gross Rent</v>
      </c>
      <c r="G26" s="31"/>
      <c r="I26" s="32">
        <v>1.1599999999999999</v>
      </c>
    </row>
    <row r="27" spans="1:10" x14ac:dyDescent="0.25">
      <c r="A27" s="36" t="s">
        <v>138</v>
      </c>
      <c r="B27" s="28">
        <f>ROUND(B24*I27/50,0)* 50</f>
        <v>31350</v>
      </c>
      <c r="C27" s="35"/>
      <c r="D27" s="29"/>
      <c r="E27" s="30"/>
      <c r="F27" s="12"/>
      <c r="G27" s="31"/>
      <c r="I27" s="32">
        <f>+I26+8%</f>
        <v>1.24</v>
      </c>
    </row>
    <row r="28" spans="1:10" x14ac:dyDescent="0.25">
      <c r="A28" s="36" t="s">
        <v>139</v>
      </c>
      <c r="B28" s="28">
        <f>ROUND(B24*I28/50,0)* 50</f>
        <v>33400</v>
      </c>
      <c r="C28" s="35"/>
      <c r="D28" s="29"/>
      <c r="E28" s="30"/>
      <c r="F28" s="12"/>
      <c r="G28" s="31"/>
      <c r="I28" s="32">
        <f>+I27+8%</f>
        <v>1.32</v>
      </c>
    </row>
    <row r="29" spans="1:10" x14ac:dyDescent="0.25">
      <c r="A29" s="37"/>
      <c r="B29" s="38"/>
      <c r="C29" s="38"/>
      <c r="D29" s="38"/>
      <c r="E29" s="39"/>
      <c r="F29" s="38"/>
      <c r="G29" s="40"/>
      <c r="I29" s="21"/>
    </row>
    <row r="30" spans="1:10" x14ac:dyDescent="0.25">
      <c r="A30" s="41" t="str">
        <f>"Gross Rents (Rents + Tenant Paid Utilities) at 30% of "&amp;TEXT(A20,"0%")&amp;" of AMI"</f>
        <v>Gross Rents (Rents + Tenant Paid Utilities) at 30% of 30% of AMI</v>
      </c>
      <c r="B30" s="42"/>
      <c r="C30" s="42"/>
      <c r="D30" s="42"/>
      <c r="E30" s="43"/>
      <c r="F30" s="42"/>
      <c r="G30" s="44"/>
    </row>
    <row r="31" spans="1:10" x14ac:dyDescent="0.25">
      <c r="A31" s="45" t="s">
        <v>0</v>
      </c>
      <c r="B31" s="46" t="s">
        <v>1</v>
      </c>
      <c r="C31" s="46" t="s">
        <v>2</v>
      </c>
      <c r="D31" s="46" t="s">
        <v>3</v>
      </c>
      <c r="E31" s="47" t="s">
        <v>4</v>
      </c>
      <c r="F31" s="46" t="s">
        <v>137</v>
      </c>
      <c r="G31" s="48"/>
    </row>
    <row r="32" spans="1:10" x14ac:dyDescent="0.25">
      <c r="A32" s="49">
        <f>ROUNDDOWN(E21,I32)</f>
        <v>442</v>
      </c>
      <c r="B32" s="50">
        <f>ROUNDDOWN(E22,I32)</f>
        <v>474</v>
      </c>
      <c r="C32" s="50">
        <f>ROUNDDOWN(E23,I32)</f>
        <v>568</v>
      </c>
      <c r="D32" s="50">
        <f>ROUNDDOWN(E24,I32)</f>
        <v>657</v>
      </c>
      <c r="E32" s="50">
        <f>ROUNDDOWN(E25,I32)</f>
        <v>733</v>
      </c>
      <c r="F32" s="50">
        <f>ROUNDDOWN(E26,I32)</f>
        <v>809</v>
      </c>
      <c r="G32" s="51"/>
      <c r="I32" s="14">
        <f>+I18</f>
        <v>0</v>
      </c>
    </row>
    <row r="34" spans="1:9" x14ac:dyDescent="0.25">
      <c r="A34" s="22">
        <v>0.4</v>
      </c>
      <c r="B34" s="23" t="s">
        <v>130</v>
      </c>
      <c r="C34" s="24"/>
      <c r="D34" s="24"/>
      <c r="E34" s="25"/>
      <c r="F34" s="24"/>
      <c r="G34" s="26"/>
    </row>
    <row r="35" spans="1:9" x14ac:dyDescent="0.25">
      <c r="A35" s="27" t="s">
        <v>131</v>
      </c>
      <c r="B35" s="28">
        <f>ROUND(B38*I35/50,0)* 50</f>
        <v>23600</v>
      </c>
      <c r="C35" s="12" t="s">
        <v>0</v>
      </c>
      <c r="D35" s="29">
        <f>B35</f>
        <v>23600</v>
      </c>
      <c r="E35" s="30">
        <f t="shared" ref="E35:E40" si="4">D35*0.3/12</f>
        <v>590</v>
      </c>
      <c r="F35" s="12" t="str">
        <f t="shared" ref="F35:F40" si="5">C35&amp;" Gross Rent"</f>
        <v>0BR Gross Rent</v>
      </c>
      <c r="G35" s="31"/>
      <c r="I35" s="32">
        <v>0.7</v>
      </c>
    </row>
    <row r="36" spans="1:9" x14ac:dyDescent="0.25">
      <c r="A36" s="27" t="s">
        <v>132</v>
      </c>
      <c r="B36" s="28">
        <f>ROUND(B38*I36/50,0)* 50</f>
        <v>27000</v>
      </c>
      <c r="C36" s="12" t="s">
        <v>1</v>
      </c>
      <c r="D36" s="29">
        <f>(B35+B36)/2</f>
        <v>25300</v>
      </c>
      <c r="E36" s="30">
        <f t="shared" si="4"/>
        <v>632.5</v>
      </c>
      <c r="F36" s="12" t="str">
        <f t="shared" si="5"/>
        <v>1BR Gross Rent</v>
      </c>
      <c r="G36" s="31"/>
      <c r="I36" s="32">
        <v>0.8</v>
      </c>
    </row>
    <row r="37" spans="1:9" x14ac:dyDescent="0.25">
      <c r="A37" s="27" t="s">
        <v>133</v>
      </c>
      <c r="B37" s="28">
        <f>ROUND(B38*I37/50,0)* 50</f>
        <v>30350</v>
      </c>
      <c r="C37" s="12" t="s">
        <v>2</v>
      </c>
      <c r="D37" s="29">
        <f>B37</f>
        <v>30350</v>
      </c>
      <c r="E37" s="30">
        <f t="shared" si="4"/>
        <v>758.75</v>
      </c>
      <c r="F37" s="12" t="str">
        <f t="shared" si="5"/>
        <v>2BR Gross Rent</v>
      </c>
      <c r="G37" s="31"/>
      <c r="I37" s="32">
        <v>0.9</v>
      </c>
    </row>
    <row r="38" spans="1:9" x14ac:dyDescent="0.25">
      <c r="A38" s="27" t="s">
        <v>134</v>
      </c>
      <c r="B38" s="33">
        <f>ROUND($B$4*A34,0)</f>
        <v>33720</v>
      </c>
      <c r="C38" s="12" t="s">
        <v>3</v>
      </c>
      <c r="D38" s="29">
        <f>(B38+B39)/2</f>
        <v>35060</v>
      </c>
      <c r="E38" s="30">
        <f t="shared" si="4"/>
        <v>876.5</v>
      </c>
      <c r="F38" s="12" t="str">
        <f t="shared" si="5"/>
        <v>3BR Gross Rent</v>
      </c>
      <c r="G38" s="34"/>
      <c r="I38" s="32">
        <v>1</v>
      </c>
    </row>
    <row r="39" spans="1:9" x14ac:dyDescent="0.25">
      <c r="A39" s="27" t="s">
        <v>135</v>
      </c>
      <c r="B39" s="28">
        <f>ROUND(B38*I39/50,0)* 50</f>
        <v>36400</v>
      </c>
      <c r="C39" s="35" t="s">
        <v>4</v>
      </c>
      <c r="D39" s="29">
        <f>B40</f>
        <v>39100</v>
      </c>
      <c r="E39" s="30">
        <f t="shared" si="4"/>
        <v>977.5</v>
      </c>
      <c r="F39" s="12" t="str">
        <f t="shared" si="5"/>
        <v>4BR Gross Rent</v>
      </c>
      <c r="G39" s="31"/>
      <c r="I39" s="32">
        <v>1.08</v>
      </c>
    </row>
    <row r="40" spans="1:9" x14ac:dyDescent="0.25">
      <c r="A40" s="27" t="s">
        <v>136</v>
      </c>
      <c r="B40" s="28">
        <f>ROUND(B38*I40/50,0)* 50</f>
        <v>39100</v>
      </c>
      <c r="C40" s="35" t="s">
        <v>137</v>
      </c>
      <c r="D40" s="29">
        <f>(B42+B41)/2</f>
        <v>43150</v>
      </c>
      <c r="E40" s="30">
        <f t="shared" si="4"/>
        <v>1078.75</v>
      </c>
      <c r="F40" s="12" t="str">
        <f t="shared" si="5"/>
        <v>5BR Gross Rent</v>
      </c>
      <c r="G40" s="31"/>
      <c r="I40" s="32">
        <v>1.1599999999999999</v>
      </c>
    </row>
    <row r="41" spans="1:9" x14ac:dyDescent="0.25">
      <c r="A41" s="36" t="s">
        <v>138</v>
      </c>
      <c r="B41" s="28">
        <f>ROUND(B38*I41/50,0)* 50</f>
        <v>41800</v>
      </c>
      <c r="C41" s="35"/>
      <c r="D41" s="29"/>
      <c r="E41" s="30"/>
      <c r="F41" s="12"/>
      <c r="G41" s="31"/>
      <c r="I41" s="32">
        <f>+I40+8%</f>
        <v>1.24</v>
      </c>
    </row>
    <row r="42" spans="1:9" x14ac:dyDescent="0.25">
      <c r="A42" s="36" t="s">
        <v>139</v>
      </c>
      <c r="B42" s="28">
        <f>ROUND(B38*I42/50,0)* 50</f>
        <v>44500</v>
      </c>
      <c r="C42" s="35"/>
      <c r="D42" s="29"/>
      <c r="E42" s="30"/>
      <c r="F42" s="12"/>
      <c r="G42" s="31"/>
      <c r="I42" s="32">
        <f>+I41+8%</f>
        <v>1.32</v>
      </c>
    </row>
    <row r="43" spans="1:9" x14ac:dyDescent="0.25">
      <c r="A43" s="37"/>
      <c r="B43" s="38"/>
      <c r="C43" s="38"/>
      <c r="D43" s="38"/>
      <c r="E43" s="39"/>
      <c r="F43" s="38"/>
      <c r="G43" s="40"/>
      <c r="I43" s="21"/>
    </row>
    <row r="44" spans="1:9" x14ac:dyDescent="0.25">
      <c r="A44" s="41" t="str">
        <f>"Gross Rents (Rents + Tenant Paid Utilities) at 30% of "&amp;TEXT(A34,"0%")&amp;" of AMI"</f>
        <v>Gross Rents (Rents + Tenant Paid Utilities) at 30% of 40% of AMI</v>
      </c>
      <c r="B44" s="42"/>
      <c r="C44" s="42"/>
      <c r="D44" s="42"/>
      <c r="E44" s="43"/>
      <c r="F44" s="42"/>
      <c r="G44" s="44"/>
    </row>
    <row r="45" spans="1:9" x14ac:dyDescent="0.25">
      <c r="A45" s="45" t="s">
        <v>0</v>
      </c>
      <c r="B45" s="46" t="s">
        <v>1</v>
      </c>
      <c r="C45" s="46" t="s">
        <v>2</v>
      </c>
      <c r="D45" s="46" t="s">
        <v>3</v>
      </c>
      <c r="E45" s="47" t="s">
        <v>4</v>
      </c>
      <c r="F45" s="46" t="s">
        <v>137</v>
      </c>
      <c r="G45" s="48"/>
    </row>
    <row r="46" spans="1:9" x14ac:dyDescent="0.25">
      <c r="A46" s="49">
        <f>ROUNDDOWN(E35,I46)</f>
        <v>590</v>
      </c>
      <c r="B46" s="50">
        <f>ROUNDDOWN(E36,I46)</f>
        <v>632</v>
      </c>
      <c r="C46" s="50">
        <f>ROUNDDOWN(E37,I46)</f>
        <v>758</v>
      </c>
      <c r="D46" s="50">
        <f>ROUNDDOWN(E38,I46)</f>
        <v>876</v>
      </c>
      <c r="E46" s="50">
        <f>ROUNDDOWN(E39,I46)</f>
        <v>977</v>
      </c>
      <c r="F46" s="50">
        <f>ROUNDDOWN(E40,I46)</f>
        <v>1078</v>
      </c>
      <c r="G46" s="51"/>
      <c r="I46" s="14">
        <f>+I32</f>
        <v>0</v>
      </c>
    </row>
    <row r="48" spans="1:9" x14ac:dyDescent="0.25">
      <c r="A48" s="22">
        <v>0.5</v>
      </c>
      <c r="B48" s="23" t="s">
        <v>130</v>
      </c>
      <c r="C48" s="24"/>
      <c r="D48" s="24"/>
      <c r="E48" s="25"/>
      <c r="F48" s="24"/>
      <c r="G48" s="26"/>
    </row>
    <row r="49" spans="1:9" x14ac:dyDescent="0.25">
      <c r="A49" s="27" t="s">
        <v>131</v>
      </c>
      <c r="B49" s="28">
        <f>ROUND(B52*I49/50,0)* 50</f>
        <v>29500</v>
      </c>
      <c r="C49" s="12" t="s">
        <v>0</v>
      </c>
      <c r="D49" s="29">
        <f>B49</f>
        <v>29500</v>
      </c>
      <c r="E49" s="30">
        <f t="shared" ref="E49:E54" si="6">D49*0.3/12</f>
        <v>737.5</v>
      </c>
      <c r="F49" s="12" t="str">
        <f t="shared" ref="F49:F54" si="7">C49&amp;" Gross Rent"</f>
        <v>0BR Gross Rent</v>
      </c>
      <c r="G49" s="31"/>
      <c r="I49" s="32">
        <v>0.7</v>
      </c>
    </row>
    <row r="50" spans="1:9" x14ac:dyDescent="0.25">
      <c r="A50" s="27" t="s">
        <v>132</v>
      </c>
      <c r="B50" s="28">
        <f>ROUND(B52*I50/50,0)* 50</f>
        <v>33700</v>
      </c>
      <c r="C50" s="12" t="s">
        <v>1</v>
      </c>
      <c r="D50" s="29">
        <f>(B49+B50)/2</f>
        <v>31600</v>
      </c>
      <c r="E50" s="30">
        <f t="shared" si="6"/>
        <v>790</v>
      </c>
      <c r="F50" s="12" t="str">
        <f t="shared" si="7"/>
        <v>1BR Gross Rent</v>
      </c>
      <c r="G50" s="31"/>
      <c r="I50" s="32">
        <v>0.8</v>
      </c>
    </row>
    <row r="51" spans="1:9" x14ac:dyDescent="0.25">
      <c r="A51" s="27" t="s">
        <v>133</v>
      </c>
      <c r="B51" s="28">
        <f>ROUND(B52*I51/50,0)* 50</f>
        <v>37950</v>
      </c>
      <c r="C51" s="12" t="s">
        <v>2</v>
      </c>
      <c r="D51" s="29">
        <f>B51</f>
        <v>37950</v>
      </c>
      <c r="E51" s="30">
        <f t="shared" si="6"/>
        <v>948.75</v>
      </c>
      <c r="F51" s="12" t="str">
        <f t="shared" si="7"/>
        <v>2BR Gross Rent</v>
      </c>
      <c r="G51" s="31"/>
      <c r="I51" s="32">
        <v>0.9</v>
      </c>
    </row>
    <row r="52" spans="1:9" x14ac:dyDescent="0.25">
      <c r="A52" s="27" t="s">
        <v>134</v>
      </c>
      <c r="B52" s="33">
        <f>ROUND($B$4*A48,0)</f>
        <v>42150</v>
      </c>
      <c r="C52" s="12" t="s">
        <v>3</v>
      </c>
      <c r="D52" s="29">
        <f>(B52+B53)/2</f>
        <v>43825</v>
      </c>
      <c r="E52" s="30">
        <f t="shared" si="6"/>
        <v>1095.625</v>
      </c>
      <c r="F52" s="12" t="str">
        <f t="shared" si="7"/>
        <v>3BR Gross Rent</v>
      </c>
      <c r="G52" s="34"/>
      <c r="I52" s="32">
        <v>1</v>
      </c>
    </row>
    <row r="53" spans="1:9" x14ac:dyDescent="0.25">
      <c r="A53" s="27" t="s">
        <v>135</v>
      </c>
      <c r="B53" s="28">
        <f>ROUND(B52*I53/50,0)* 50</f>
        <v>45500</v>
      </c>
      <c r="C53" s="35" t="s">
        <v>4</v>
      </c>
      <c r="D53" s="29">
        <f>B54</f>
        <v>48900</v>
      </c>
      <c r="E53" s="30">
        <f t="shared" si="6"/>
        <v>1222.5</v>
      </c>
      <c r="F53" s="12" t="str">
        <f t="shared" si="7"/>
        <v>4BR Gross Rent</v>
      </c>
      <c r="G53" s="31"/>
      <c r="I53" s="32">
        <v>1.08</v>
      </c>
    </row>
    <row r="54" spans="1:9" x14ac:dyDescent="0.25">
      <c r="A54" s="27" t="s">
        <v>136</v>
      </c>
      <c r="B54" s="28">
        <f>ROUND(B52*I54/50,0)* 50</f>
        <v>48900</v>
      </c>
      <c r="C54" s="35" t="s">
        <v>137</v>
      </c>
      <c r="D54" s="29">
        <f>(B56+B55)/2</f>
        <v>53950</v>
      </c>
      <c r="E54" s="30">
        <f t="shared" si="6"/>
        <v>1348.75</v>
      </c>
      <c r="F54" s="12" t="str">
        <f t="shared" si="7"/>
        <v>5BR Gross Rent</v>
      </c>
      <c r="G54" s="31"/>
      <c r="I54" s="32">
        <v>1.1599999999999999</v>
      </c>
    </row>
    <row r="55" spans="1:9" x14ac:dyDescent="0.25">
      <c r="A55" s="36" t="s">
        <v>138</v>
      </c>
      <c r="B55" s="28">
        <f>ROUND(B52*I55/50,0)* 50</f>
        <v>52250</v>
      </c>
      <c r="C55" s="35"/>
      <c r="D55" s="29"/>
      <c r="E55" s="30"/>
      <c r="F55" s="12"/>
      <c r="G55" s="31"/>
      <c r="I55" s="32">
        <f>+I54+8%</f>
        <v>1.24</v>
      </c>
    </row>
    <row r="56" spans="1:9" x14ac:dyDescent="0.25">
      <c r="A56" s="36" t="s">
        <v>139</v>
      </c>
      <c r="B56" s="28">
        <f>ROUND(B52*I56/50,0)* 50</f>
        <v>55650</v>
      </c>
      <c r="C56" s="35"/>
      <c r="D56" s="29"/>
      <c r="E56" s="30"/>
      <c r="F56" s="12"/>
      <c r="G56" s="31"/>
      <c r="I56" s="32">
        <f>+I55+8%</f>
        <v>1.32</v>
      </c>
    </row>
    <row r="57" spans="1:9" x14ac:dyDescent="0.25">
      <c r="A57" s="37"/>
      <c r="B57" s="38"/>
      <c r="C57" s="38"/>
      <c r="D57" s="38"/>
      <c r="E57" s="39"/>
      <c r="F57" s="38"/>
      <c r="G57" s="40"/>
      <c r="I57" s="21"/>
    </row>
    <row r="58" spans="1:9" x14ac:dyDescent="0.25">
      <c r="A58" s="41" t="str">
        <f>"Gross Rents (Rents + Tenant Paid Utilities) at 30% of "&amp;TEXT(A48,"0%")&amp;" of AMI"</f>
        <v>Gross Rents (Rents + Tenant Paid Utilities) at 30% of 50% of AMI</v>
      </c>
      <c r="B58" s="42"/>
      <c r="C58" s="42"/>
      <c r="D58" s="42"/>
      <c r="E58" s="43"/>
      <c r="F58" s="42"/>
      <c r="G58" s="44"/>
    </row>
    <row r="59" spans="1:9" x14ac:dyDescent="0.25">
      <c r="A59" s="45" t="s">
        <v>0</v>
      </c>
      <c r="B59" s="46" t="s">
        <v>1</v>
      </c>
      <c r="C59" s="46" t="s">
        <v>2</v>
      </c>
      <c r="D59" s="46" t="s">
        <v>3</v>
      </c>
      <c r="E59" s="47" t="s">
        <v>4</v>
      </c>
      <c r="F59" s="46" t="s">
        <v>137</v>
      </c>
      <c r="G59" s="48"/>
    </row>
    <row r="60" spans="1:9" x14ac:dyDescent="0.25">
      <c r="A60" s="49">
        <f>ROUNDDOWN(E49,I60)</f>
        <v>737</v>
      </c>
      <c r="B60" s="50">
        <f>ROUNDDOWN(E50,I60)</f>
        <v>790</v>
      </c>
      <c r="C60" s="50">
        <f>ROUNDDOWN(E51,I60)</f>
        <v>948</v>
      </c>
      <c r="D60" s="50">
        <f>ROUNDDOWN(E52,I60)</f>
        <v>1095</v>
      </c>
      <c r="E60" s="50">
        <f>ROUNDDOWN(E53,I60)</f>
        <v>1222</v>
      </c>
      <c r="F60" s="50">
        <f>ROUNDDOWN(E54,I60)</f>
        <v>1348</v>
      </c>
      <c r="G60" s="51"/>
      <c r="I60" s="14">
        <f>+I46</f>
        <v>0</v>
      </c>
    </row>
    <row r="62" spans="1:9" x14ac:dyDescent="0.25">
      <c r="A62" s="22">
        <v>0.6</v>
      </c>
      <c r="B62" s="23" t="s">
        <v>130</v>
      </c>
      <c r="C62" s="24"/>
      <c r="D62" s="24"/>
      <c r="E62" s="25"/>
      <c r="F62" s="24"/>
      <c r="G62" s="26"/>
    </row>
    <row r="63" spans="1:9" x14ac:dyDescent="0.25">
      <c r="A63" s="27" t="s">
        <v>131</v>
      </c>
      <c r="B63" s="28">
        <f>ROUND(B66*I63/50,0)* 50</f>
        <v>35400</v>
      </c>
      <c r="C63" s="12" t="s">
        <v>0</v>
      </c>
      <c r="D63" s="29">
        <f>B63</f>
        <v>35400</v>
      </c>
      <c r="E63" s="30">
        <f t="shared" ref="E63:E68" si="8">D63*0.3/12</f>
        <v>885</v>
      </c>
      <c r="F63" s="12" t="str">
        <f t="shared" ref="F63:F68" si="9">C63&amp;" Gross Rent"</f>
        <v>0BR Gross Rent</v>
      </c>
      <c r="G63" s="31"/>
      <c r="I63" s="32">
        <v>0.7</v>
      </c>
    </row>
    <row r="64" spans="1:9" x14ac:dyDescent="0.25">
      <c r="A64" s="27" t="s">
        <v>132</v>
      </c>
      <c r="B64" s="28">
        <f>ROUND(B66*I64/50,0)* 50</f>
        <v>40450</v>
      </c>
      <c r="C64" s="12" t="s">
        <v>1</v>
      </c>
      <c r="D64" s="29">
        <f>(B63+B64)/2</f>
        <v>37925</v>
      </c>
      <c r="E64" s="30">
        <f t="shared" si="8"/>
        <v>948.125</v>
      </c>
      <c r="F64" s="12" t="str">
        <f t="shared" si="9"/>
        <v>1BR Gross Rent</v>
      </c>
      <c r="G64" s="31"/>
      <c r="I64" s="32">
        <v>0.8</v>
      </c>
    </row>
    <row r="65" spans="1:9" x14ac:dyDescent="0.25">
      <c r="A65" s="27" t="s">
        <v>133</v>
      </c>
      <c r="B65" s="28">
        <f>ROUND(B66*I65/50,0)* 50</f>
        <v>45500</v>
      </c>
      <c r="C65" s="12" t="s">
        <v>2</v>
      </c>
      <c r="D65" s="29">
        <f>B65</f>
        <v>45500</v>
      </c>
      <c r="E65" s="30">
        <f t="shared" si="8"/>
        <v>1137.5</v>
      </c>
      <c r="F65" s="12" t="str">
        <f t="shared" si="9"/>
        <v>2BR Gross Rent</v>
      </c>
      <c r="G65" s="31"/>
      <c r="I65" s="32">
        <v>0.9</v>
      </c>
    </row>
    <row r="66" spans="1:9" x14ac:dyDescent="0.25">
      <c r="A66" s="27" t="s">
        <v>134</v>
      </c>
      <c r="B66" s="33">
        <f>ROUND($B$4*A62,0)</f>
        <v>50580</v>
      </c>
      <c r="C66" s="12" t="s">
        <v>3</v>
      </c>
      <c r="D66" s="29">
        <f>(B66+B67)/2</f>
        <v>52615</v>
      </c>
      <c r="E66" s="30">
        <f t="shared" si="8"/>
        <v>1315.375</v>
      </c>
      <c r="F66" s="12" t="str">
        <f t="shared" si="9"/>
        <v>3BR Gross Rent</v>
      </c>
      <c r="G66" s="34"/>
      <c r="I66" s="32">
        <v>1</v>
      </c>
    </row>
    <row r="67" spans="1:9" x14ac:dyDescent="0.25">
      <c r="A67" s="27" t="s">
        <v>135</v>
      </c>
      <c r="B67" s="28">
        <f>ROUND(B66*I67/50,0)* 50</f>
        <v>54650</v>
      </c>
      <c r="C67" s="35" t="s">
        <v>4</v>
      </c>
      <c r="D67" s="29">
        <f>B68</f>
        <v>58650</v>
      </c>
      <c r="E67" s="30">
        <f t="shared" si="8"/>
        <v>1466.25</v>
      </c>
      <c r="F67" s="12" t="str">
        <f t="shared" si="9"/>
        <v>4BR Gross Rent</v>
      </c>
      <c r="G67" s="31"/>
      <c r="I67" s="32">
        <v>1.08</v>
      </c>
    </row>
    <row r="68" spans="1:9" x14ac:dyDescent="0.25">
      <c r="A68" s="27" t="s">
        <v>136</v>
      </c>
      <c r="B68" s="28">
        <f>ROUND(B66*I68/50,0)* 50</f>
        <v>58650</v>
      </c>
      <c r="C68" s="35" t="s">
        <v>137</v>
      </c>
      <c r="D68" s="29">
        <f>(B70+B69)/2</f>
        <v>64725</v>
      </c>
      <c r="E68" s="30">
        <f t="shared" si="8"/>
        <v>1618.125</v>
      </c>
      <c r="F68" s="12" t="str">
        <f t="shared" si="9"/>
        <v>5BR Gross Rent</v>
      </c>
      <c r="G68" s="31"/>
      <c r="I68" s="32">
        <v>1.1599999999999999</v>
      </c>
    </row>
    <row r="69" spans="1:9" x14ac:dyDescent="0.25">
      <c r="A69" s="36" t="s">
        <v>138</v>
      </c>
      <c r="B69" s="28">
        <f>ROUND(B66*I69/50,0)* 50</f>
        <v>62700</v>
      </c>
      <c r="C69" s="35"/>
      <c r="D69" s="29"/>
      <c r="E69" s="30"/>
      <c r="F69" s="12"/>
      <c r="G69" s="31"/>
      <c r="I69" s="32">
        <f>+I68+8%</f>
        <v>1.24</v>
      </c>
    </row>
    <row r="70" spans="1:9" x14ac:dyDescent="0.25">
      <c r="A70" s="36" t="s">
        <v>139</v>
      </c>
      <c r="B70" s="28">
        <f>ROUND(B66*I70/50,0)* 50</f>
        <v>66750</v>
      </c>
      <c r="C70" s="35"/>
      <c r="D70" s="29"/>
      <c r="E70" s="30"/>
      <c r="F70" s="12"/>
      <c r="G70" s="31"/>
      <c r="I70" s="32">
        <f>+I69+8%</f>
        <v>1.32</v>
      </c>
    </row>
    <row r="71" spans="1:9" x14ac:dyDescent="0.25">
      <c r="A71" s="37"/>
      <c r="B71" s="38"/>
      <c r="C71" s="38"/>
      <c r="D71" s="38"/>
      <c r="E71" s="39"/>
      <c r="F71" s="38"/>
      <c r="G71" s="40"/>
      <c r="I71" s="21"/>
    </row>
    <row r="72" spans="1:9" x14ac:dyDescent="0.25">
      <c r="A72" s="41" t="str">
        <f>"Gross Rents (Rents + Tenant Paid Utilities) at 30% of "&amp;TEXT(A62,"0%")&amp;" of AMI"</f>
        <v>Gross Rents (Rents + Tenant Paid Utilities) at 30% of 60% of AMI</v>
      </c>
      <c r="B72" s="42"/>
      <c r="C72" s="42"/>
      <c r="D72" s="42"/>
      <c r="E72" s="43"/>
      <c r="F72" s="42"/>
      <c r="G72" s="44"/>
    </row>
    <row r="73" spans="1:9" x14ac:dyDescent="0.25">
      <c r="A73" s="45" t="s">
        <v>0</v>
      </c>
      <c r="B73" s="46" t="s">
        <v>1</v>
      </c>
      <c r="C73" s="46" t="s">
        <v>2</v>
      </c>
      <c r="D73" s="46" t="s">
        <v>3</v>
      </c>
      <c r="E73" s="47" t="s">
        <v>4</v>
      </c>
      <c r="F73" s="46" t="s">
        <v>137</v>
      </c>
      <c r="G73" s="48"/>
    </row>
    <row r="74" spans="1:9" x14ac:dyDescent="0.25">
      <c r="A74" s="49">
        <f>ROUNDDOWN(E63,I74)</f>
        <v>885</v>
      </c>
      <c r="B74" s="50">
        <f>ROUNDDOWN(E64,I74)</f>
        <v>948</v>
      </c>
      <c r="C74" s="50">
        <f>ROUNDDOWN(E65,I74)</f>
        <v>1137</v>
      </c>
      <c r="D74" s="50">
        <f>ROUNDDOWN(E66,I74)</f>
        <v>1315</v>
      </c>
      <c r="E74" s="50">
        <f>ROUNDDOWN(E67,I74)</f>
        <v>1466</v>
      </c>
      <c r="F74" s="50">
        <f>ROUNDDOWN(E68,I74)</f>
        <v>1618</v>
      </c>
      <c r="G74" s="51"/>
      <c r="I74" s="14">
        <f>+I60</f>
        <v>0</v>
      </c>
    </row>
    <row r="76" spans="1:9" x14ac:dyDescent="0.25">
      <c r="A76" s="22">
        <v>0.7</v>
      </c>
      <c r="B76" s="23" t="s">
        <v>130</v>
      </c>
      <c r="C76" s="24"/>
      <c r="D76" s="24"/>
      <c r="E76" s="25"/>
      <c r="F76" s="24"/>
      <c r="G76" s="26"/>
    </row>
    <row r="77" spans="1:9" x14ac:dyDescent="0.25">
      <c r="A77" s="27" t="s">
        <v>131</v>
      </c>
      <c r="B77" s="28">
        <f>ROUND(B80*I77/50,0)* 50</f>
        <v>41300</v>
      </c>
      <c r="C77" s="12" t="s">
        <v>0</v>
      </c>
      <c r="D77" s="29">
        <f>B77</f>
        <v>41300</v>
      </c>
      <c r="E77" s="30">
        <f t="shared" ref="E77:E82" si="10">D77*0.3/12</f>
        <v>1032.5</v>
      </c>
      <c r="F77" s="12" t="str">
        <f t="shared" ref="F77:F82" si="11">C77&amp;" Gross Rent"</f>
        <v>0BR Gross Rent</v>
      </c>
      <c r="G77" s="31"/>
      <c r="I77" s="32">
        <v>0.7</v>
      </c>
    </row>
    <row r="78" spans="1:9" x14ac:dyDescent="0.25">
      <c r="A78" s="27" t="s">
        <v>132</v>
      </c>
      <c r="B78" s="28">
        <f>ROUND(B80*I78/50,0)* 50</f>
        <v>47200</v>
      </c>
      <c r="C78" s="12" t="s">
        <v>1</v>
      </c>
      <c r="D78" s="29">
        <f>(B77+B78)/2</f>
        <v>44250</v>
      </c>
      <c r="E78" s="30">
        <f t="shared" si="10"/>
        <v>1106.25</v>
      </c>
      <c r="F78" s="12" t="str">
        <f t="shared" si="11"/>
        <v>1BR Gross Rent</v>
      </c>
      <c r="G78" s="31"/>
      <c r="I78" s="32">
        <v>0.8</v>
      </c>
    </row>
    <row r="79" spans="1:9" x14ac:dyDescent="0.25">
      <c r="A79" s="27" t="s">
        <v>133</v>
      </c>
      <c r="B79" s="28">
        <f>ROUND(B80*I79/50,0)* 50</f>
        <v>53100</v>
      </c>
      <c r="C79" s="12" t="s">
        <v>2</v>
      </c>
      <c r="D79" s="29">
        <f>B79</f>
        <v>53100</v>
      </c>
      <c r="E79" s="30">
        <f t="shared" si="10"/>
        <v>1327.5</v>
      </c>
      <c r="F79" s="12" t="str">
        <f t="shared" si="11"/>
        <v>2BR Gross Rent</v>
      </c>
      <c r="G79" s="31"/>
      <c r="I79" s="32">
        <v>0.9</v>
      </c>
    </row>
    <row r="80" spans="1:9" x14ac:dyDescent="0.25">
      <c r="A80" s="27" t="s">
        <v>134</v>
      </c>
      <c r="B80" s="33">
        <f>ROUND($B$4*A76,0)</f>
        <v>59010</v>
      </c>
      <c r="C80" s="12" t="s">
        <v>3</v>
      </c>
      <c r="D80" s="29">
        <f>(B80+B81)/2</f>
        <v>61380</v>
      </c>
      <c r="E80" s="30">
        <f t="shared" si="10"/>
        <v>1534.5</v>
      </c>
      <c r="F80" s="12" t="str">
        <f t="shared" si="11"/>
        <v>3BR Gross Rent</v>
      </c>
      <c r="G80" s="34"/>
      <c r="I80" s="32">
        <v>1</v>
      </c>
    </row>
    <row r="81" spans="1:9" x14ac:dyDescent="0.25">
      <c r="A81" s="27" t="s">
        <v>135</v>
      </c>
      <c r="B81" s="28">
        <f>ROUND(B80*I81/50,0)* 50</f>
        <v>63750</v>
      </c>
      <c r="C81" s="35" t="s">
        <v>4</v>
      </c>
      <c r="D81" s="29">
        <f>B82</f>
        <v>68450</v>
      </c>
      <c r="E81" s="30">
        <f t="shared" si="10"/>
        <v>1711.25</v>
      </c>
      <c r="F81" s="12" t="str">
        <f t="shared" si="11"/>
        <v>4BR Gross Rent</v>
      </c>
      <c r="G81" s="31"/>
      <c r="I81" s="32">
        <v>1.08</v>
      </c>
    </row>
    <row r="82" spans="1:9" x14ac:dyDescent="0.25">
      <c r="A82" s="27" t="s">
        <v>136</v>
      </c>
      <c r="B82" s="28">
        <f>ROUND(B80*I82/50,0)* 50</f>
        <v>68450</v>
      </c>
      <c r="C82" s="35" t="s">
        <v>137</v>
      </c>
      <c r="D82" s="29">
        <f>(B84+B83)/2</f>
        <v>75525</v>
      </c>
      <c r="E82" s="30">
        <f t="shared" si="10"/>
        <v>1888.125</v>
      </c>
      <c r="F82" s="12" t="str">
        <f t="shared" si="11"/>
        <v>5BR Gross Rent</v>
      </c>
      <c r="G82" s="31"/>
      <c r="I82" s="32">
        <v>1.1599999999999999</v>
      </c>
    </row>
    <row r="83" spans="1:9" x14ac:dyDescent="0.25">
      <c r="A83" s="36" t="s">
        <v>138</v>
      </c>
      <c r="B83" s="28">
        <f>ROUND(B80*I83/50,0)* 50</f>
        <v>73150</v>
      </c>
      <c r="C83" s="35"/>
      <c r="D83" s="29"/>
      <c r="E83" s="30"/>
      <c r="F83" s="12"/>
      <c r="G83" s="31"/>
      <c r="I83" s="32">
        <f>+I82+8%</f>
        <v>1.24</v>
      </c>
    </row>
    <row r="84" spans="1:9" x14ac:dyDescent="0.25">
      <c r="A84" s="36" t="s">
        <v>139</v>
      </c>
      <c r="B84" s="28">
        <f>ROUND(B80*I84/50,0)* 50</f>
        <v>77900</v>
      </c>
      <c r="C84" s="35"/>
      <c r="D84" s="29"/>
      <c r="E84" s="30"/>
      <c r="F84" s="12"/>
      <c r="G84" s="31"/>
      <c r="I84" s="32">
        <f>+I83+8%</f>
        <v>1.32</v>
      </c>
    </row>
    <row r="85" spans="1:9" x14ac:dyDescent="0.25">
      <c r="A85" s="37"/>
      <c r="B85" s="38"/>
      <c r="C85" s="38"/>
      <c r="D85" s="38"/>
      <c r="E85" s="39"/>
      <c r="F85" s="38"/>
      <c r="G85" s="40"/>
      <c r="I85" s="21"/>
    </row>
    <row r="86" spans="1:9" x14ac:dyDescent="0.25">
      <c r="A86" s="41" t="str">
        <f>"Gross Rents (Rents + Tenant Paid Utilities) at 30% of "&amp;TEXT(A76,"0%")&amp;" of AMI"</f>
        <v>Gross Rents (Rents + Tenant Paid Utilities) at 30% of 70% of AMI</v>
      </c>
      <c r="B86" s="42"/>
      <c r="C86" s="42"/>
      <c r="D86" s="42"/>
      <c r="E86" s="43"/>
      <c r="F86" s="42"/>
      <c r="G86" s="44"/>
    </row>
    <row r="87" spans="1:9" x14ac:dyDescent="0.25">
      <c r="A87" s="45" t="s">
        <v>0</v>
      </c>
      <c r="B87" s="46" t="s">
        <v>1</v>
      </c>
      <c r="C87" s="46" t="s">
        <v>2</v>
      </c>
      <c r="D87" s="46" t="s">
        <v>3</v>
      </c>
      <c r="E87" s="47" t="s">
        <v>4</v>
      </c>
      <c r="F87" s="46" t="s">
        <v>137</v>
      </c>
      <c r="G87" s="48"/>
    </row>
    <row r="88" spans="1:9" x14ac:dyDescent="0.25">
      <c r="A88" s="49">
        <f>ROUNDDOWN(E77,I88)</f>
        <v>1032</v>
      </c>
      <c r="B88" s="50">
        <f>ROUNDDOWN(E78,I88)</f>
        <v>1106</v>
      </c>
      <c r="C88" s="50">
        <f>ROUNDDOWN(E79,I88)</f>
        <v>1327</v>
      </c>
      <c r="D88" s="50">
        <f>ROUNDDOWN(E80,I88)</f>
        <v>1534</v>
      </c>
      <c r="E88" s="50">
        <f>ROUNDDOWN(E81,I88)</f>
        <v>1711</v>
      </c>
      <c r="F88" s="50">
        <f>ROUNDDOWN(E82,I88)</f>
        <v>1888</v>
      </c>
      <c r="G88" s="51"/>
      <c r="I88" s="14">
        <f>+I60</f>
        <v>0</v>
      </c>
    </row>
    <row r="90" spans="1:9" x14ac:dyDescent="0.25">
      <c r="A90" s="22">
        <v>0.8</v>
      </c>
      <c r="B90" s="23" t="s">
        <v>130</v>
      </c>
      <c r="C90" s="24"/>
      <c r="D90" s="24"/>
      <c r="E90" s="25"/>
      <c r="F90" s="24"/>
      <c r="G90" s="26"/>
    </row>
    <row r="91" spans="1:9" x14ac:dyDescent="0.25">
      <c r="A91" s="27" t="s">
        <v>131</v>
      </c>
      <c r="B91" s="28">
        <f>ROUND(B94*I91/50,0)* 50</f>
        <v>47200</v>
      </c>
      <c r="C91" s="12" t="s">
        <v>0</v>
      </c>
      <c r="D91" s="29">
        <f>B91</f>
        <v>47200</v>
      </c>
      <c r="E91" s="30">
        <f t="shared" ref="E91:E96" si="12">D91*0.3/12</f>
        <v>1180</v>
      </c>
      <c r="F91" s="12" t="str">
        <f t="shared" ref="F91:F96" si="13">C91&amp;" Gross Rent"</f>
        <v>0BR Gross Rent</v>
      </c>
      <c r="G91" s="31"/>
      <c r="I91" s="32">
        <v>0.7</v>
      </c>
    </row>
    <row r="92" spans="1:9" x14ac:dyDescent="0.25">
      <c r="A92" s="27" t="s">
        <v>132</v>
      </c>
      <c r="B92" s="28">
        <f>ROUND(B94*I92/50,0)* 50</f>
        <v>53950</v>
      </c>
      <c r="C92" s="12" t="s">
        <v>1</v>
      </c>
      <c r="D92" s="29">
        <f>(B91+B92)/2</f>
        <v>50575</v>
      </c>
      <c r="E92" s="30">
        <f t="shared" si="12"/>
        <v>1264.375</v>
      </c>
      <c r="F92" s="12" t="str">
        <f t="shared" si="13"/>
        <v>1BR Gross Rent</v>
      </c>
      <c r="G92" s="31"/>
      <c r="I92" s="32">
        <v>0.8</v>
      </c>
    </row>
    <row r="93" spans="1:9" x14ac:dyDescent="0.25">
      <c r="A93" s="27" t="s">
        <v>133</v>
      </c>
      <c r="B93" s="28">
        <f>ROUND(B94*I93/50,0)* 50</f>
        <v>60700</v>
      </c>
      <c r="C93" s="12" t="s">
        <v>2</v>
      </c>
      <c r="D93" s="29">
        <f>B93</f>
        <v>60700</v>
      </c>
      <c r="E93" s="30">
        <f t="shared" si="12"/>
        <v>1517.5</v>
      </c>
      <c r="F93" s="12" t="str">
        <f t="shared" si="13"/>
        <v>2BR Gross Rent</v>
      </c>
      <c r="G93" s="31"/>
      <c r="I93" s="32">
        <v>0.9</v>
      </c>
    </row>
    <row r="94" spans="1:9" x14ac:dyDescent="0.25">
      <c r="A94" s="27" t="s">
        <v>134</v>
      </c>
      <c r="B94" s="33">
        <f>ROUND($B$4*A90,0)</f>
        <v>67440</v>
      </c>
      <c r="C94" s="12" t="s">
        <v>3</v>
      </c>
      <c r="D94" s="29">
        <f>(B94+B95)/2</f>
        <v>70145</v>
      </c>
      <c r="E94" s="30">
        <f t="shared" si="12"/>
        <v>1753.625</v>
      </c>
      <c r="F94" s="12" t="str">
        <f t="shared" si="13"/>
        <v>3BR Gross Rent</v>
      </c>
      <c r="G94" s="34"/>
      <c r="I94" s="32">
        <v>1</v>
      </c>
    </row>
    <row r="95" spans="1:9" x14ac:dyDescent="0.25">
      <c r="A95" s="27" t="s">
        <v>135</v>
      </c>
      <c r="B95" s="28">
        <f>ROUND(B94*I95/50,0)* 50</f>
        <v>72850</v>
      </c>
      <c r="C95" s="35" t="s">
        <v>4</v>
      </c>
      <c r="D95" s="29">
        <f>B96</f>
        <v>78250</v>
      </c>
      <c r="E95" s="30">
        <f t="shared" si="12"/>
        <v>1956.25</v>
      </c>
      <c r="F95" s="12" t="str">
        <f t="shared" si="13"/>
        <v>4BR Gross Rent</v>
      </c>
      <c r="G95" s="31"/>
      <c r="I95" s="32">
        <v>1.08</v>
      </c>
    </row>
    <row r="96" spans="1:9" x14ac:dyDescent="0.25">
      <c r="A96" s="27" t="s">
        <v>136</v>
      </c>
      <c r="B96" s="28">
        <f>ROUND(B94*I96/50,0)* 50</f>
        <v>78250</v>
      </c>
      <c r="C96" s="35" t="s">
        <v>137</v>
      </c>
      <c r="D96" s="29">
        <f>(B98+B97)/2</f>
        <v>86325</v>
      </c>
      <c r="E96" s="30">
        <f t="shared" si="12"/>
        <v>2158.125</v>
      </c>
      <c r="F96" s="12" t="str">
        <f t="shared" si="13"/>
        <v>5BR Gross Rent</v>
      </c>
      <c r="G96" s="31"/>
      <c r="I96" s="32">
        <v>1.1599999999999999</v>
      </c>
    </row>
    <row r="97" spans="1:9" x14ac:dyDescent="0.25">
      <c r="A97" s="36" t="s">
        <v>138</v>
      </c>
      <c r="B97" s="28">
        <f>ROUND(B94*I97/50,0)* 50</f>
        <v>83650</v>
      </c>
      <c r="C97" s="35"/>
      <c r="D97" s="29"/>
      <c r="E97" s="30"/>
      <c r="F97" s="12"/>
      <c r="G97" s="31"/>
      <c r="I97" s="32">
        <f>+I96+8%</f>
        <v>1.24</v>
      </c>
    </row>
    <row r="98" spans="1:9" x14ac:dyDescent="0.25">
      <c r="A98" s="36" t="s">
        <v>139</v>
      </c>
      <c r="B98" s="28">
        <f>ROUND(B94*I98/50,0)* 50</f>
        <v>89000</v>
      </c>
      <c r="C98" s="35"/>
      <c r="D98" s="29"/>
      <c r="E98" s="30"/>
      <c r="F98" s="12"/>
      <c r="G98" s="31"/>
      <c r="I98" s="32">
        <f>+I97+8%</f>
        <v>1.32</v>
      </c>
    </row>
    <row r="99" spans="1:9" x14ac:dyDescent="0.25">
      <c r="A99" s="37"/>
      <c r="B99" s="38"/>
      <c r="C99" s="38"/>
      <c r="D99" s="38"/>
      <c r="E99" s="39"/>
      <c r="F99" s="38"/>
      <c r="G99" s="40"/>
      <c r="I99" s="21"/>
    </row>
    <row r="100" spans="1:9" x14ac:dyDescent="0.25">
      <c r="A100" s="41" t="str">
        <f>"Gross Rents (Rents + Tenant Paid Utilities) at 30% of "&amp;TEXT(A90,"0%")&amp;" of AMI"</f>
        <v>Gross Rents (Rents + Tenant Paid Utilities) at 30% of 80% of AMI</v>
      </c>
      <c r="B100" s="42"/>
      <c r="C100" s="42"/>
      <c r="D100" s="42"/>
      <c r="E100" s="43"/>
      <c r="F100" s="42"/>
      <c r="G100" s="44"/>
    </row>
    <row r="101" spans="1:9" x14ac:dyDescent="0.25">
      <c r="A101" s="45" t="s">
        <v>0</v>
      </c>
      <c r="B101" s="46" t="s">
        <v>1</v>
      </c>
      <c r="C101" s="46" t="s">
        <v>2</v>
      </c>
      <c r="D101" s="46" t="s">
        <v>3</v>
      </c>
      <c r="E101" s="47" t="s">
        <v>4</v>
      </c>
      <c r="F101" s="46" t="s">
        <v>137</v>
      </c>
      <c r="G101" s="48"/>
    </row>
    <row r="102" spans="1:9" x14ac:dyDescent="0.25">
      <c r="A102" s="49">
        <f>ROUNDDOWN(E91,I102)</f>
        <v>1180</v>
      </c>
      <c r="B102" s="50">
        <f>ROUNDDOWN(E92,I102)</f>
        <v>1264</v>
      </c>
      <c r="C102" s="50">
        <f>ROUNDDOWN(E93,I102)</f>
        <v>1517</v>
      </c>
      <c r="D102" s="50">
        <f>ROUNDDOWN(E94,I102)</f>
        <v>1753</v>
      </c>
      <c r="E102" s="50">
        <f>ROUNDDOWN(E95,I102)</f>
        <v>1956</v>
      </c>
      <c r="F102" s="50">
        <f>ROUNDDOWN(E96,I102)</f>
        <v>2158</v>
      </c>
      <c r="G102" s="51"/>
      <c r="I102" s="14">
        <f>+I74</f>
        <v>0</v>
      </c>
    </row>
    <row r="104" spans="1:9" x14ac:dyDescent="0.25">
      <c r="A104" s="22">
        <v>0.9</v>
      </c>
      <c r="B104" s="23" t="s">
        <v>130</v>
      </c>
      <c r="C104" s="24"/>
      <c r="D104" s="24"/>
      <c r="E104" s="25"/>
      <c r="F104" s="24"/>
      <c r="G104" s="26"/>
    </row>
    <row r="105" spans="1:9" x14ac:dyDescent="0.25">
      <c r="A105" s="27" t="s">
        <v>131</v>
      </c>
      <c r="B105" s="28">
        <f>ROUND(B108*I105/50,0)* 50</f>
        <v>53100</v>
      </c>
      <c r="C105" s="12" t="s">
        <v>0</v>
      </c>
      <c r="D105" s="29">
        <f>B105</f>
        <v>53100</v>
      </c>
      <c r="E105" s="30">
        <f t="shared" ref="E105:E110" si="14">D105*0.3/12</f>
        <v>1327.5</v>
      </c>
      <c r="F105" s="12" t="str">
        <f t="shared" ref="F105:F110" si="15">C105&amp;" Gross Rent"</f>
        <v>0BR Gross Rent</v>
      </c>
      <c r="G105" s="31"/>
      <c r="I105" s="32">
        <v>0.7</v>
      </c>
    </row>
    <row r="106" spans="1:9" x14ac:dyDescent="0.25">
      <c r="A106" s="27" t="s">
        <v>132</v>
      </c>
      <c r="B106" s="28">
        <f>ROUND(B108*I106/50,0)* 50</f>
        <v>60700</v>
      </c>
      <c r="C106" s="12" t="s">
        <v>1</v>
      </c>
      <c r="D106" s="29">
        <f>(B105+B106)/2</f>
        <v>56900</v>
      </c>
      <c r="E106" s="30">
        <f t="shared" si="14"/>
        <v>1422.5</v>
      </c>
      <c r="F106" s="12" t="str">
        <f t="shared" si="15"/>
        <v>1BR Gross Rent</v>
      </c>
      <c r="G106" s="31"/>
      <c r="I106" s="32">
        <v>0.8</v>
      </c>
    </row>
    <row r="107" spans="1:9" x14ac:dyDescent="0.25">
      <c r="A107" s="27" t="s">
        <v>133</v>
      </c>
      <c r="B107" s="28">
        <f>ROUND(B108*I107/50,0)* 50</f>
        <v>68300</v>
      </c>
      <c r="C107" s="12" t="s">
        <v>2</v>
      </c>
      <c r="D107" s="29">
        <f>B107</f>
        <v>68300</v>
      </c>
      <c r="E107" s="30">
        <f t="shared" si="14"/>
        <v>1707.5</v>
      </c>
      <c r="F107" s="12" t="str">
        <f t="shared" si="15"/>
        <v>2BR Gross Rent</v>
      </c>
      <c r="G107" s="31"/>
      <c r="I107" s="32">
        <v>0.9</v>
      </c>
    </row>
    <row r="108" spans="1:9" x14ac:dyDescent="0.25">
      <c r="A108" s="27" t="s">
        <v>134</v>
      </c>
      <c r="B108" s="33">
        <f>ROUND($B$4*A104,0)</f>
        <v>75870</v>
      </c>
      <c r="C108" s="12" t="s">
        <v>3</v>
      </c>
      <c r="D108" s="29">
        <f>(B108+B109)/2</f>
        <v>78910</v>
      </c>
      <c r="E108" s="30">
        <f t="shared" si="14"/>
        <v>1972.75</v>
      </c>
      <c r="F108" s="12" t="str">
        <f t="shared" si="15"/>
        <v>3BR Gross Rent</v>
      </c>
      <c r="G108" s="34"/>
      <c r="I108" s="32">
        <v>1</v>
      </c>
    </row>
    <row r="109" spans="1:9" x14ac:dyDescent="0.25">
      <c r="A109" s="27" t="s">
        <v>135</v>
      </c>
      <c r="B109" s="28">
        <f>ROUND(B108*I109/50,0)* 50</f>
        <v>81950</v>
      </c>
      <c r="C109" s="35" t="s">
        <v>4</v>
      </c>
      <c r="D109" s="29">
        <f>B110</f>
        <v>88000</v>
      </c>
      <c r="E109" s="30">
        <f t="shared" si="14"/>
        <v>2200</v>
      </c>
      <c r="F109" s="12" t="str">
        <f t="shared" si="15"/>
        <v>4BR Gross Rent</v>
      </c>
      <c r="G109" s="31"/>
      <c r="I109" s="32">
        <v>1.08</v>
      </c>
    </row>
    <row r="110" spans="1:9" x14ac:dyDescent="0.25">
      <c r="A110" s="27" t="s">
        <v>136</v>
      </c>
      <c r="B110" s="28">
        <f>ROUND(B108*I110/50,0)* 50</f>
        <v>88000</v>
      </c>
      <c r="C110" s="35" t="s">
        <v>137</v>
      </c>
      <c r="D110" s="29">
        <f>(B112+B111)/2</f>
        <v>97125</v>
      </c>
      <c r="E110" s="30">
        <f t="shared" si="14"/>
        <v>2428.125</v>
      </c>
      <c r="F110" s="12" t="str">
        <f t="shared" si="15"/>
        <v>5BR Gross Rent</v>
      </c>
      <c r="G110" s="31"/>
      <c r="I110" s="32">
        <v>1.1599999999999999</v>
      </c>
    </row>
    <row r="111" spans="1:9" x14ac:dyDescent="0.25">
      <c r="A111" s="36" t="s">
        <v>138</v>
      </c>
      <c r="B111" s="28">
        <f>ROUND(B108*I111/50,0)* 50</f>
        <v>94100</v>
      </c>
      <c r="C111" s="35"/>
      <c r="D111" s="29"/>
      <c r="E111" s="30"/>
      <c r="F111" s="12"/>
      <c r="G111" s="31"/>
      <c r="I111" s="32">
        <f>+I110+8%</f>
        <v>1.24</v>
      </c>
    </row>
    <row r="112" spans="1:9" x14ac:dyDescent="0.25">
      <c r="A112" s="36" t="s">
        <v>139</v>
      </c>
      <c r="B112" s="28">
        <f>ROUND(B108*I112/50,0)* 50</f>
        <v>100150</v>
      </c>
      <c r="C112" s="35"/>
      <c r="D112" s="29"/>
      <c r="E112" s="30"/>
      <c r="F112" s="12"/>
      <c r="G112" s="31"/>
      <c r="I112" s="32">
        <f>+I111+8%</f>
        <v>1.32</v>
      </c>
    </row>
    <row r="113" spans="1:9" x14ac:dyDescent="0.25">
      <c r="A113" s="37"/>
      <c r="B113" s="38"/>
      <c r="C113" s="38"/>
      <c r="D113" s="38"/>
      <c r="E113" s="39"/>
      <c r="F113" s="38"/>
      <c r="G113" s="40"/>
      <c r="I113" s="21"/>
    </row>
    <row r="114" spans="1:9" x14ac:dyDescent="0.25">
      <c r="A114" s="41" t="str">
        <f>"Gross Rents (Rents + Tenant Paid Utilities) at 30% of "&amp;TEXT(A104,"0%")&amp;" of AMI"</f>
        <v>Gross Rents (Rents + Tenant Paid Utilities) at 30% of 90% of AMI</v>
      </c>
      <c r="B114" s="42"/>
      <c r="C114" s="42"/>
      <c r="D114" s="42"/>
      <c r="E114" s="43"/>
      <c r="F114" s="42"/>
      <c r="G114" s="44"/>
    </row>
    <row r="115" spans="1:9" x14ac:dyDescent="0.25">
      <c r="A115" s="45" t="s">
        <v>0</v>
      </c>
      <c r="B115" s="46" t="s">
        <v>1</v>
      </c>
      <c r="C115" s="46" t="s">
        <v>2</v>
      </c>
      <c r="D115" s="46" t="s">
        <v>3</v>
      </c>
      <c r="E115" s="47" t="s">
        <v>4</v>
      </c>
      <c r="F115" s="46" t="s">
        <v>137</v>
      </c>
      <c r="G115" s="48"/>
    </row>
    <row r="116" spans="1:9" x14ac:dyDescent="0.25">
      <c r="A116" s="49">
        <f>ROUNDDOWN(E105,I116)</f>
        <v>1327</v>
      </c>
      <c r="B116" s="50">
        <f>ROUNDDOWN(E106,I116)</f>
        <v>1422</v>
      </c>
      <c r="C116" s="50">
        <f>ROUNDDOWN(E107,I116)</f>
        <v>1707</v>
      </c>
      <c r="D116" s="50">
        <f>ROUNDDOWN(E108,I116)</f>
        <v>1972</v>
      </c>
      <c r="E116" s="50">
        <f>ROUNDDOWN(E109,I116)</f>
        <v>2200</v>
      </c>
      <c r="F116" s="50">
        <f>ROUNDDOWN(E110,I116)</f>
        <v>2428</v>
      </c>
      <c r="G116" s="51"/>
      <c r="I116" s="14">
        <f>+I88</f>
        <v>0</v>
      </c>
    </row>
    <row r="118" spans="1:9" x14ac:dyDescent="0.25">
      <c r="A118" s="22">
        <v>1</v>
      </c>
      <c r="B118" s="23" t="s">
        <v>130</v>
      </c>
      <c r="C118" s="24"/>
      <c r="D118" s="24"/>
      <c r="E118" s="25"/>
      <c r="F118" s="24"/>
      <c r="G118" s="26"/>
    </row>
    <row r="119" spans="1:9" x14ac:dyDescent="0.25">
      <c r="A119" s="27" t="s">
        <v>131</v>
      </c>
      <c r="B119" s="28">
        <f>ROUND(B122*I119/50,0)* 50</f>
        <v>59000</v>
      </c>
      <c r="C119" s="12" t="s">
        <v>0</v>
      </c>
      <c r="D119" s="29">
        <f>B119</f>
        <v>59000</v>
      </c>
      <c r="E119" s="30">
        <f t="shared" ref="E119:E124" si="16">D119*0.3/12</f>
        <v>1475</v>
      </c>
      <c r="F119" s="12" t="str">
        <f t="shared" ref="F119:F124" si="17">C119&amp;" Gross Rent"</f>
        <v>0BR Gross Rent</v>
      </c>
      <c r="G119" s="31"/>
      <c r="I119" s="32">
        <v>0.7</v>
      </c>
    </row>
    <row r="120" spans="1:9" x14ac:dyDescent="0.25">
      <c r="A120" s="27" t="s">
        <v>132</v>
      </c>
      <c r="B120" s="28">
        <f>ROUND(B122*I120/50,0)* 50</f>
        <v>67450</v>
      </c>
      <c r="C120" s="12" t="s">
        <v>1</v>
      </c>
      <c r="D120" s="29">
        <f>(B119+B120)/2</f>
        <v>63225</v>
      </c>
      <c r="E120" s="30">
        <f t="shared" si="16"/>
        <v>1580.625</v>
      </c>
      <c r="F120" s="12" t="str">
        <f t="shared" si="17"/>
        <v>1BR Gross Rent</v>
      </c>
      <c r="G120" s="31"/>
      <c r="I120" s="32">
        <v>0.8</v>
      </c>
    </row>
    <row r="121" spans="1:9" x14ac:dyDescent="0.25">
      <c r="A121" s="27" t="s">
        <v>133</v>
      </c>
      <c r="B121" s="28">
        <f>ROUND(B122*I121/50,0)* 50</f>
        <v>75850</v>
      </c>
      <c r="C121" s="12" t="s">
        <v>2</v>
      </c>
      <c r="D121" s="29">
        <f>B121</f>
        <v>75850</v>
      </c>
      <c r="E121" s="30">
        <f t="shared" si="16"/>
        <v>1896.25</v>
      </c>
      <c r="F121" s="12" t="str">
        <f t="shared" si="17"/>
        <v>2BR Gross Rent</v>
      </c>
      <c r="G121" s="31"/>
      <c r="I121" s="32">
        <v>0.9</v>
      </c>
    </row>
    <row r="122" spans="1:9" x14ac:dyDescent="0.25">
      <c r="A122" s="27" t="s">
        <v>134</v>
      </c>
      <c r="B122" s="33">
        <f>ROUND($B$4*A118,0)</f>
        <v>84300</v>
      </c>
      <c r="C122" s="12" t="s">
        <v>3</v>
      </c>
      <c r="D122" s="29">
        <f>(B122+B123)/2</f>
        <v>87675</v>
      </c>
      <c r="E122" s="30">
        <f t="shared" si="16"/>
        <v>2191.875</v>
      </c>
      <c r="F122" s="12" t="str">
        <f t="shared" si="17"/>
        <v>3BR Gross Rent</v>
      </c>
      <c r="G122" s="34"/>
      <c r="I122" s="32">
        <v>1</v>
      </c>
    </row>
    <row r="123" spans="1:9" x14ac:dyDescent="0.25">
      <c r="A123" s="27" t="s">
        <v>135</v>
      </c>
      <c r="B123" s="28">
        <f>ROUND(B122*I123/50,0)* 50</f>
        <v>91050</v>
      </c>
      <c r="C123" s="35" t="s">
        <v>4</v>
      </c>
      <c r="D123" s="29">
        <f>B124</f>
        <v>97800</v>
      </c>
      <c r="E123" s="30">
        <f t="shared" si="16"/>
        <v>2445</v>
      </c>
      <c r="F123" s="12" t="str">
        <f t="shared" si="17"/>
        <v>4BR Gross Rent</v>
      </c>
      <c r="G123" s="31"/>
      <c r="I123" s="32">
        <v>1.08</v>
      </c>
    </row>
    <row r="124" spans="1:9" x14ac:dyDescent="0.25">
      <c r="A124" s="27" t="s">
        <v>136</v>
      </c>
      <c r="B124" s="28">
        <f>ROUND(B122*I124/50,0)* 50</f>
        <v>97800</v>
      </c>
      <c r="C124" s="35" t="s">
        <v>137</v>
      </c>
      <c r="D124" s="29">
        <f>(B126+B125)/2</f>
        <v>107925</v>
      </c>
      <c r="E124" s="30">
        <f t="shared" si="16"/>
        <v>2698.125</v>
      </c>
      <c r="F124" s="12" t="str">
        <f t="shared" si="17"/>
        <v>5BR Gross Rent</v>
      </c>
      <c r="G124" s="31"/>
      <c r="I124" s="32">
        <v>1.1599999999999999</v>
      </c>
    </row>
    <row r="125" spans="1:9" x14ac:dyDescent="0.25">
      <c r="A125" s="36" t="s">
        <v>138</v>
      </c>
      <c r="B125" s="28">
        <f>ROUND(B122*I125/50,0)* 50</f>
        <v>104550</v>
      </c>
      <c r="C125" s="35"/>
      <c r="D125" s="29"/>
      <c r="E125" s="30"/>
      <c r="F125" s="12"/>
      <c r="G125" s="31"/>
      <c r="I125" s="32">
        <f>+I124+8%</f>
        <v>1.24</v>
      </c>
    </row>
    <row r="126" spans="1:9" x14ac:dyDescent="0.25">
      <c r="A126" s="36" t="s">
        <v>139</v>
      </c>
      <c r="B126" s="28">
        <f>ROUND(B122*I126/50,0)* 50</f>
        <v>111300</v>
      </c>
      <c r="C126" s="35"/>
      <c r="D126" s="29"/>
      <c r="E126" s="30"/>
      <c r="F126" s="12"/>
      <c r="G126" s="31"/>
      <c r="I126" s="32">
        <f>+I125+8%</f>
        <v>1.32</v>
      </c>
    </row>
    <row r="127" spans="1:9" x14ac:dyDescent="0.25">
      <c r="A127" s="37"/>
      <c r="B127" s="38"/>
      <c r="C127" s="38"/>
      <c r="D127" s="38"/>
      <c r="E127" s="39"/>
      <c r="F127" s="38"/>
      <c r="G127" s="40"/>
      <c r="I127" s="21"/>
    </row>
    <row r="128" spans="1:9" x14ac:dyDescent="0.25">
      <c r="A128" s="41" t="str">
        <f>"Gross Rents (Rents + Tenant Paid Utilities) at 30% of "&amp;TEXT(A118,"0%")&amp;" of AMI"</f>
        <v>Gross Rents (Rents + Tenant Paid Utilities) at 30% of 100% of AMI</v>
      </c>
      <c r="B128" s="42"/>
      <c r="C128" s="42"/>
      <c r="D128" s="42"/>
      <c r="E128" s="43"/>
      <c r="F128" s="42"/>
      <c r="G128" s="44"/>
    </row>
    <row r="129" spans="1:9" x14ac:dyDescent="0.25">
      <c r="A129" s="45" t="s">
        <v>0</v>
      </c>
      <c r="B129" s="46" t="s">
        <v>1</v>
      </c>
      <c r="C129" s="46" t="s">
        <v>2</v>
      </c>
      <c r="D129" s="46" t="s">
        <v>3</v>
      </c>
      <c r="E129" s="47" t="s">
        <v>4</v>
      </c>
      <c r="F129" s="46" t="s">
        <v>137</v>
      </c>
      <c r="G129" s="48"/>
    </row>
    <row r="130" spans="1:9" x14ac:dyDescent="0.25">
      <c r="A130" s="49">
        <f>ROUNDDOWN(E119,I130)</f>
        <v>1475</v>
      </c>
      <c r="B130" s="50">
        <f>ROUNDDOWN(E120,I130)</f>
        <v>1580</v>
      </c>
      <c r="C130" s="50">
        <f>ROUNDDOWN(E121,I130)</f>
        <v>1896</v>
      </c>
      <c r="D130" s="50">
        <f>ROUNDDOWN(E122,I130)</f>
        <v>2191</v>
      </c>
      <c r="E130" s="50">
        <f>ROUNDDOWN(E123,I130)</f>
        <v>2445</v>
      </c>
      <c r="F130" s="50">
        <f>ROUNDDOWN(E124,I130)</f>
        <v>2698</v>
      </c>
      <c r="G130" s="51"/>
      <c r="I130" s="14">
        <f>+I102</f>
        <v>0</v>
      </c>
    </row>
    <row r="133" spans="1:9" x14ac:dyDescent="0.25">
      <c r="A133" s="10" t="s">
        <v>141</v>
      </c>
      <c r="B133" s="8" t="s">
        <v>0</v>
      </c>
      <c r="C133" s="8" t="s">
        <v>1</v>
      </c>
      <c r="D133" s="8" t="s">
        <v>2</v>
      </c>
      <c r="E133" s="53" t="s">
        <v>3</v>
      </c>
      <c r="F133" s="9" t="s">
        <v>4</v>
      </c>
    </row>
    <row r="134" spans="1:9" x14ac:dyDescent="0.25">
      <c r="A134" s="54" t="s">
        <v>302</v>
      </c>
      <c r="B134" s="55">
        <f>+A18</f>
        <v>295</v>
      </c>
      <c r="C134" s="55">
        <f>+B18</f>
        <v>316</v>
      </c>
      <c r="D134" s="55">
        <f>+C18</f>
        <v>378</v>
      </c>
      <c r="E134" s="55">
        <f>+D18</f>
        <v>438</v>
      </c>
      <c r="F134" s="55">
        <f>+E18</f>
        <v>488</v>
      </c>
    </row>
    <row r="135" spans="1:9" x14ac:dyDescent="0.25">
      <c r="A135" s="54" t="s">
        <v>303</v>
      </c>
      <c r="B135" s="55">
        <f>+A32</f>
        <v>442</v>
      </c>
      <c r="C135" s="55">
        <f>+B32</f>
        <v>474</v>
      </c>
      <c r="D135" s="55">
        <f>+C32</f>
        <v>568</v>
      </c>
      <c r="E135" s="55">
        <f>+D32</f>
        <v>657</v>
      </c>
      <c r="F135" s="55">
        <f>+E32</f>
        <v>733</v>
      </c>
    </row>
    <row r="136" spans="1:9" x14ac:dyDescent="0.25">
      <c r="A136" s="54" t="s">
        <v>304</v>
      </c>
      <c r="B136" s="55">
        <f>+A46</f>
        <v>590</v>
      </c>
      <c r="C136" s="55">
        <f>+B46</f>
        <v>632</v>
      </c>
      <c r="D136" s="55">
        <f>+C46</f>
        <v>758</v>
      </c>
      <c r="E136" s="55">
        <f>+D46</f>
        <v>876</v>
      </c>
      <c r="F136" s="55">
        <f>+E46</f>
        <v>977</v>
      </c>
    </row>
    <row r="137" spans="1:9" x14ac:dyDescent="0.25">
      <c r="A137" s="54" t="s">
        <v>305</v>
      </c>
      <c r="B137" s="55">
        <f>+A60</f>
        <v>737</v>
      </c>
      <c r="C137" s="55">
        <f>+B60</f>
        <v>790</v>
      </c>
      <c r="D137" s="55">
        <f>+C60</f>
        <v>948</v>
      </c>
      <c r="E137" s="55">
        <f>+D60</f>
        <v>1095</v>
      </c>
      <c r="F137" s="55">
        <f>+E60</f>
        <v>1222</v>
      </c>
    </row>
    <row r="138" spans="1:9" x14ac:dyDescent="0.25">
      <c r="A138" s="54" t="s">
        <v>306</v>
      </c>
      <c r="B138" s="55">
        <f>+A74</f>
        <v>885</v>
      </c>
      <c r="C138" s="55">
        <f>+B74</f>
        <v>948</v>
      </c>
      <c r="D138" s="55">
        <f>+C74</f>
        <v>1137</v>
      </c>
      <c r="E138" s="55">
        <f>+D74</f>
        <v>1315</v>
      </c>
      <c r="F138" s="55">
        <f>+E74</f>
        <v>1466</v>
      </c>
    </row>
    <row r="139" spans="1:9" x14ac:dyDescent="0.25">
      <c r="A139" s="54" t="s">
        <v>307</v>
      </c>
      <c r="B139" s="55">
        <f>+A88</f>
        <v>1032</v>
      </c>
      <c r="C139" s="55">
        <f>+B88</f>
        <v>1106</v>
      </c>
      <c r="D139" s="55">
        <f>+C88</f>
        <v>1327</v>
      </c>
      <c r="E139" s="55">
        <f>+D88</f>
        <v>1534</v>
      </c>
      <c r="F139" s="55">
        <f>+E88</f>
        <v>1711</v>
      </c>
    </row>
    <row r="140" spans="1:9" x14ac:dyDescent="0.25">
      <c r="A140" s="54" t="s">
        <v>308</v>
      </c>
      <c r="B140" s="55">
        <f>+A102</f>
        <v>1180</v>
      </c>
      <c r="C140" s="55">
        <f>+B102</f>
        <v>1264</v>
      </c>
      <c r="D140" s="55">
        <f>+C102</f>
        <v>1517</v>
      </c>
      <c r="E140" s="55">
        <f>+D102</f>
        <v>1753</v>
      </c>
      <c r="F140" s="55">
        <f>+E102</f>
        <v>1956</v>
      </c>
    </row>
    <row r="141" spans="1:9" x14ac:dyDescent="0.25">
      <c r="A141" s="54" t="s">
        <v>310</v>
      </c>
      <c r="B141" s="55">
        <f>A116</f>
        <v>1327</v>
      </c>
      <c r="C141" s="55">
        <f t="shared" ref="C141:F141" si="18">B116</f>
        <v>1422</v>
      </c>
      <c r="D141" s="55">
        <f t="shared" si="18"/>
        <v>1707</v>
      </c>
      <c r="E141" s="55">
        <f t="shared" si="18"/>
        <v>1972</v>
      </c>
      <c r="F141" s="55">
        <f t="shared" si="18"/>
        <v>2200</v>
      </c>
    </row>
    <row r="142" spans="1:9" x14ac:dyDescent="0.25">
      <c r="A142" s="54" t="s">
        <v>309</v>
      </c>
      <c r="B142" s="55">
        <f>+A130</f>
        <v>1475</v>
      </c>
      <c r="C142" s="55">
        <f>+B130</f>
        <v>1580</v>
      </c>
      <c r="D142" s="55">
        <f>+C130</f>
        <v>1896</v>
      </c>
      <c r="E142" s="55">
        <f>+D130</f>
        <v>2191</v>
      </c>
      <c r="F142" s="55">
        <f>+E130</f>
        <v>2445</v>
      </c>
    </row>
    <row r="143" spans="1:9" x14ac:dyDescent="0.25">
      <c r="A143" s="54" t="s">
        <v>315</v>
      </c>
      <c r="B143" s="55">
        <f>VLOOKUP('BASIC INPUT'!$C$5,'REF AMIS'!$A$6:$K$69,7,FALSE)</f>
        <v>859</v>
      </c>
      <c r="C143" s="55">
        <f>VLOOKUP('BASIC INPUT'!$C$5,'REF AMIS'!$A$6:$K$69,8,FALSE)</f>
        <v>876</v>
      </c>
      <c r="D143" s="55">
        <f>VLOOKUP('BASIC INPUT'!$C$5,'REF AMIS'!$A$6:$K$69,9,FALSE)</f>
        <v>1005</v>
      </c>
      <c r="E143" s="55">
        <f>VLOOKUP('BASIC INPUT'!$C$5,'REF AMIS'!$A$6:$K$69,10,FALSE)</f>
        <v>1266</v>
      </c>
      <c r="F143" s="55">
        <f>VLOOKUP('BASIC INPUT'!$C$5,'REF AMIS'!$A$6:$K$69,11,FALSE)</f>
        <v>1644</v>
      </c>
    </row>
    <row r="144" spans="1:9" x14ac:dyDescent="0.25">
      <c r="A144" s="54" t="s">
        <v>397</v>
      </c>
      <c r="B144" s="14" t="s">
        <v>142</v>
      </c>
      <c r="C144" s="14" t="s">
        <v>142</v>
      </c>
      <c r="D144" s="14" t="s">
        <v>142</v>
      </c>
      <c r="E144" s="14" t="s">
        <v>142</v>
      </c>
      <c r="F144" s="14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0DA97-6689-4EBB-8642-B9996436308F}">
  <dimension ref="B2:B18"/>
  <sheetViews>
    <sheetView workbookViewId="0">
      <selection activeCell="I40" sqref="I40"/>
    </sheetView>
  </sheetViews>
  <sheetFormatPr defaultRowHeight="15" x14ac:dyDescent="0.25"/>
  <cols>
    <col min="2" max="2" width="10" bestFit="1" customWidth="1"/>
  </cols>
  <sheetData>
    <row r="2" spans="2:2" x14ac:dyDescent="0.25">
      <c r="B2" s="67">
        <v>0</v>
      </c>
    </row>
    <row r="3" spans="2:2" x14ac:dyDescent="0.25">
      <c r="B3" s="67">
        <v>2.5000000000000001E-3</v>
      </c>
    </row>
    <row r="4" spans="2:2" x14ac:dyDescent="0.25">
      <c r="B4" s="67">
        <v>5.0000000000000001E-3</v>
      </c>
    </row>
    <row r="5" spans="2:2" x14ac:dyDescent="0.25">
      <c r="B5" s="67">
        <v>7.4999999999999997E-3</v>
      </c>
    </row>
    <row r="6" spans="2:2" x14ac:dyDescent="0.25">
      <c r="B6" s="67">
        <v>0.01</v>
      </c>
    </row>
    <row r="7" spans="2:2" x14ac:dyDescent="0.25">
      <c r="B7" s="67">
        <v>1.2500000000000001E-2</v>
      </c>
    </row>
    <row r="8" spans="2:2" x14ac:dyDescent="0.25">
      <c r="B8" s="67">
        <v>1.4999999999999999E-2</v>
      </c>
    </row>
    <row r="9" spans="2:2" x14ac:dyDescent="0.25">
      <c r="B9" s="67">
        <f>B8+0.25%</f>
        <v>1.7499999999999998E-2</v>
      </c>
    </row>
    <row r="10" spans="2:2" x14ac:dyDescent="0.25">
      <c r="B10" s="67">
        <f t="shared" ref="B10:B17" si="0">B9+0.25%</f>
        <v>1.9999999999999997E-2</v>
      </c>
    </row>
    <row r="11" spans="2:2" x14ac:dyDescent="0.25">
      <c r="B11" s="67">
        <f t="shared" si="0"/>
        <v>2.2499999999999996E-2</v>
      </c>
    </row>
    <row r="12" spans="2:2" x14ac:dyDescent="0.25">
      <c r="B12" s="67">
        <f t="shared" si="0"/>
        <v>2.4999999999999994E-2</v>
      </c>
    </row>
    <row r="13" spans="2:2" x14ac:dyDescent="0.25">
      <c r="B13" s="67">
        <f t="shared" si="0"/>
        <v>2.7499999999999993E-2</v>
      </c>
    </row>
    <row r="14" spans="2:2" x14ac:dyDescent="0.25">
      <c r="B14" s="67">
        <f t="shared" si="0"/>
        <v>2.9999999999999992E-2</v>
      </c>
    </row>
    <row r="15" spans="2:2" x14ac:dyDescent="0.25">
      <c r="B15" s="67">
        <f t="shared" si="0"/>
        <v>3.2499999999999994E-2</v>
      </c>
    </row>
    <row r="16" spans="2:2" x14ac:dyDescent="0.25">
      <c r="B16" s="67">
        <f t="shared" si="0"/>
        <v>3.4999999999999996E-2</v>
      </c>
    </row>
    <row r="17" spans="2:2" x14ac:dyDescent="0.25">
      <c r="B17" s="67">
        <f t="shared" si="0"/>
        <v>3.7499999999999999E-2</v>
      </c>
    </row>
    <row r="18" spans="2:2" x14ac:dyDescent="0.25">
      <c r="B18" s="67">
        <f>B17+0.25%</f>
        <v>0.04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4E69F-325A-4468-AA01-5A4EAF4C1A91}">
  <dimension ref="B2:K42"/>
  <sheetViews>
    <sheetView view="pageBreakPreview" zoomScaleNormal="100" zoomScaleSheetLayoutView="100" workbookViewId="0">
      <selection activeCell="D47" sqref="D47"/>
    </sheetView>
  </sheetViews>
  <sheetFormatPr defaultRowHeight="15" x14ac:dyDescent="0.25"/>
  <cols>
    <col min="1" max="2" width="2" customWidth="1"/>
    <col min="3" max="3" width="65" customWidth="1"/>
    <col min="4" max="9" width="30.7109375" customWidth="1"/>
    <col min="10" max="11" width="30.7109375" hidden="1" customWidth="1"/>
    <col min="12" max="14" width="30.7109375" customWidth="1"/>
  </cols>
  <sheetData>
    <row r="2" spans="3:11" x14ac:dyDescent="0.25">
      <c r="D2" s="99" t="s">
        <v>286</v>
      </c>
      <c r="E2" s="100"/>
    </row>
    <row r="3" spans="3:11" x14ac:dyDescent="0.25">
      <c r="D3" s="99" t="s">
        <v>287</v>
      </c>
      <c r="E3" s="101"/>
    </row>
    <row r="4" spans="3:11" x14ac:dyDescent="0.25">
      <c r="C4" s="59" t="s">
        <v>6</v>
      </c>
      <c r="D4" s="14">
        <v>70</v>
      </c>
      <c r="E4" s="14">
        <v>70</v>
      </c>
      <c r="F4" s="14">
        <v>70</v>
      </c>
      <c r="G4" s="14">
        <v>70</v>
      </c>
      <c r="H4" s="14">
        <v>70</v>
      </c>
      <c r="I4" s="14">
        <v>70</v>
      </c>
      <c r="J4" s="14">
        <f>'BASIC INPUT'!$C$16</f>
        <v>0</v>
      </c>
      <c r="K4" s="14">
        <f>'BASIC INPUT'!$C$16</f>
        <v>0</v>
      </c>
    </row>
    <row r="5" spans="3:11" x14ac:dyDescent="0.25">
      <c r="C5" s="59" t="s">
        <v>268</v>
      </c>
      <c r="D5" s="14" t="s">
        <v>40</v>
      </c>
      <c r="E5" s="14" t="s">
        <v>40</v>
      </c>
      <c r="F5" s="14" t="s">
        <v>40</v>
      </c>
      <c r="G5" s="14" t="s">
        <v>40</v>
      </c>
      <c r="H5" s="97" t="s">
        <v>86</v>
      </c>
      <c r="I5" s="14" t="s">
        <v>40</v>
      </c>
      <c r="J5" s="14" t="str">
        <f>'BASIC INPUT'!$C$5</f>
        <v>East Baton Rouge</v>
      </c>
      <c r="K5" s="14" t="str">
        <f>'BASIC INPUT'!$C$5</f>
        <v>East Baton Rouge</v>
      </c>
    </row>
    <row r="6" spans="3:11" ht="3.95" customHeight="1" x14ac:dyDescent="0.25"/>
    <row r="7" spans="3:11" x14ac:dyDescent="0.25">
      <c r="C7" s="83" t="s">
        <v>239</v>
      </c>
      <c r="D7" s="16">
        <v>21000000</v>
      </c>
      <c r="E7" s="91">
        <v>17850000</v>
      </c>
      <c r="F7" s="16">
        <v>21000000</v>
      </c>
      <c r="G7" s="16">
        <v>21000000</v>
      </c>
      <c r="H7" s="16">
        <v>21000000</v>
      </c>
      <c r="I7" s="16">
        <v>21000000</v>
      </c>
      <c r="J7" s="16">
        <f>'BASIC INPUT'!$C$66</f>
        <v>0</v>
      </c>
      <c r="K7" s="16">
        <f>'BASIC INPUT'!$C$66</f>
        <v>0</v>
      </c>
    </row>
    <row r="8" spans="3:11" x14ac:dyDescent="0.25">
      <c r="C8" s="83" t="s">
        <v>276</v>
      </c>
      <c r="D8" s="16">
        <v>300000</v>
      </c>
      <c r="E8" s="91">
        <v>255000</v>
      </c>
      <c r="F8" s="16">
        <v>300000</v>
      </c>
      <c r="G8" s="16">
        <v>300000</v>
      </c>
      <c r="H8" s="16">
        <v>300000</v>
      </c>
      <c r="I8" s="16">
        <v>300000</v>
      </c>
      <c r="J8" s="16" t="str">
        <f>'BASIC INPUT'!$C$67</f>
        <v/>
      </c>
      <c r="K8" s="16" t="str">
        <f>'BASIC INPUT'!$C$67</f>
        <v/>
      </c>
    </row>
    <row r="9" spans="3:11" x14ac:dyDescent="0.25">
      <c r="C9" s="83" t="s">
        <v>273</v>
      </c>
      <c r="D9" s="16">
        <v>700000</v>
      </c>
      <c r="E9" s="16">
        <v>700000</v>
      </c>
      <c r="F9" s="16">
        <v>700000</v>
      </c>
      <c r="G9" s="16">
        <v>700000</v>
      </c>
      <c r="H9" s="16">
        <v>700000</v>
      </c>
      <c r="I9" s="16">
        <v>700000</v>
      </c>
      <c r="J9" s="16">
        <f>'BASIC INPUT'!$C$68</f>
        <v>0</v>
      </c>
      <c r="K9" s="16">
        <f>'BASIC INPUT'!$C$68</f>
        <v>0</v>
      </c>
    </row>
    <row r="10" spans="3:11" x14ac:dyDescent="0.25">
      <c r="C10" s="83" t="s">
        <v>274</v>
      </c>
      <c r="D10" s="16">
        <v>6470140</v>
      </c>
      <c r="E10" s="16">
        <v>6470140</v>
      </c>
      <c r="F10" s="95">
        <v>6749860</v>
      </c>
      <c r="G10" s="16">
        <v>6470140</v>
      </c>
      <c r="H10" s="16">
        <v>7968260</v>
      </c>
      <c r="I10" s="16">
        <v>5910690</v>
      </c>
      <c r="J10" s="16">
        <f>'BASIC INPUT'!$C$69</f>
        <v>0</v>
      </c>
      <c r="K10" s="16">
        <f>'BASIC INPUT'!$C$69</f>
        <v>0</v>
      </c>
    </row>
    <row r="11" spans="3:11" x14ac:dyDescent="0.25">
      <c r="C11" s="83" t="s">
        <v>272</v>
      </c>
      <c r="D11" s="16">
        <v>13829860</v>
      </c>
      <c r="E11" s="91">
        <v>10679860</v>
      </c>
      <c r="F11" s="95">
        <v>13550140</v>
      </c>
      <c r="G11" s="16">
        <v>13829860</v>
      </c>
      <c r="H11" s="95">
        <v>12331740</v>
      </c>
      <c r="I11" s="16">
        <v>14389310</v>
      </c>
      <c r="J11" s="16">
        <f>'BASIC INPUT'!$C$70</f>
        <v>0</v>
      </c>
      <c r="K11" s="16">
        <f>'BASIC INPUT'!$C$70</f>
        <v>0</v>
      </c>
    </row>
    <row r="12" spans="3:11" x14ac:dyDescent="0.25">
      <c r="C12" s="83" t="s">
        <v>275</v>
      </c>
      <c r="D12" s="16">
        <v>197569</v>
      </c>
      <c r="E12" s="91">
        <v>152569</v>
      </c>
      <c r="F12" s="95">
        <v>193573</v>
      </c>
      <c r="G12" s="16">
        <v>197569</v>
      </c>
      <c r="H12" s="95">
        <v>176168</v>
      </c>
      <c r="I12" s="16">
        <v>205562</v>
      </c>
      <c r="J12" s="16" t="str">
        <f>'BASIC INPUT'!$C$71</f>
        <v/>
      </c>
      <c r="K12" s="16" t="str">
        <f>'BASIC INPUT'!$C$71</f>
        <v/>
      </c>
    </row>
    <row r="13" spans="3:11" ht="3.95" customHeight="1" x14ac:dyDescent="0.25">
      <c r="C13" s="83"/>
    </row>
    <row r="14" spans="3:11" x14ac:dyDescent="0.25">
      <c r="C14" s="83" t="s">
        <v>267</v>
      </c>
      <c r="D14" s="88">
        <v>1.1424491253123885</v>
      </c>
      <c r="E14" s="88">
        <v>1.1424491253123885</v>
      </c>
      <c r="F14" s="94">
        <v>1.1928775437343806</v>
      </c>
      <c r="G14" s="88">
        <v>1.1424491253123885</v>
      </c>
      <c r="H14" s="93">
        <v>1</v>
      </c>
      <c r="I14" s="93">
        <v>1.0415922884684041</v>
      </c>
      <c r="J14" s="88" t="str">
        <f>'BASIC INPUT'!$C$49</f>
        <v/>
      </c>
      <c r="K14" s="88" t="str">
        <f>'BASIC INPUT'!$C$49</f>
        <v/>
      </c>
    </row>
    <row r="15" spans="3:11" x14ac:dyDescent="0.25">
      <c r="C15" s="83" t="s">
        <v>269</v>
      </c>
      <c r="D15" s="16">
        <v>1270</v>
      </c>
      <c r="E15" s="16">
        <v>1270</v>
      </c>
      <c r="F15" s="16">
        <v>1270</v>
      </c>
      <c r="G15" s="16">
        <v>1270</v>
      </c>
      <c r="H15" s="95">
        <v>1520.5</v>
      </c>
      <c r="I15" s="16">
        <v>1270</v>
      </c>
      <c r="J15" s="16" t="str">
        <f>'BASIC INPUT'!$C$50</f>
        <v/>
      </c>
      <c r="K15" s="16" t="str">
        <f>'BASIC INPUT'!$C$50</f>
        <v/>
      </c>
    </row>
    <row r="16" spans="3:11" x14ac:dyDescent="0.25">
      <c r="C16" s="83" t="s">
        <v>270</v>
      </c>
      <c r="D16" s="16">
        <v>1600</v>
      </c>
      <c r="E16" s="16">
        <v>1600</v>
      </c>
      <c r="F16" s="91">
        <v>1670.625</v>
      </c>
      <c r="G16" s="16">
        <v>1600</v>
      </c>
      <c r="H16" s="91">
        <v>1713</v>
      </c>
      <c r="I16" s="95">
        <v>1458.75</v>
      </c>
      <c r="J16" s="16" t="str">
        <f>'BASIC INPUT'!$C$51</f>
        <v/>
      </c>
      <c r="K16" s="16" t="str">
        <f>'BASIC INPUT'!$C$51</f>
        <v/>
      </c>
    </row>
    <row r="17" spans="2:11" x14ac:dyDescent="0.25">
      <c r="C17" s="83" t="s">
        <v>271</v>
      </c>
      <c r="D17" s="16">
        <v>330</v>
      </c>
      <c r="E17" s="16">
        <v>330</v>
      </c>
      <c r="F17" s="95">
        <v>400.625</v>
      </c>
      <c r="G17" s="16">
        <v>330</v>
      </c>
      <c r="H17" s="95">
        <v>192.5</v>
      </c>
      <c r="I17" s="91">
        <v>188.75</v>
      </c>
      <c r="J17" s="16" t="str">
        <f>'BASIC INPUT'!$C$52</f>
        <v/>
      </c>
      <c r="K17" s="16" t="str">
        <f>'BASIC INPUT'!$C$52</f>
        <v/>
      </c>
    </row>
    <row r="18" spans="2:11" x14ac:dyDescent="0.25">
      <c r="C18" s="83" t="s">
        <v>149</v>
      </c>
      <c r="D18" s="16">
        <v>2851200</v>
      </c>
      <c r="E18" s="16">
        <v>2851200</v>
      </c>
      <c r="F18" s="95">
        <v>3461400</v>
      </c>
      <c r="G18" s="16">
        <v>2851200</v>
      </c>
      <c r="H18" s="95">
        <v>1663200</v>
      </c>
      <c r="I18" s="95">
        <v>1630800</v>
      </c>
      <c r="J18" s="16">
        <f>'BASIC INPUT'!$C$84</f>
        <v>0</v>
      </c>
      <c r="K18" s="16">
        <f>'BASIC INPUT'!$C$84</f>
        <v>0</v>
      </c>
    </row>
    <row r="19" spans="2:11" x14ac:dyDescent="0.25">
      <c r="C19" s="83" t="s">
        <v>217</v>
      </c>
      <c r="D19" s="16">
        <v>4039949.1353009269</v>
      </c>
      <c r="E19" s="16">
        <v>4039949.1353009269</v>
      </c>
      <c r="F19" s="95">
        <v>4839236.7420659736</v>
      </c>
      <c r="G19" s="16">
        <v>4039949.1353009269</v>
      </c>
      <c r="H19" s="95">
        <v>2554465.1061249971</v>
      </c>
      <c r="I19" s="95">
        <v>2441376.9217708334</v>
      </c>
      <c r="J19" s="16" t="e">
        <f>'BASIC INPUT'!$C$85</f>
        <v>#VALUE!</v>
      </c>
      <c r="K19" s="16" t="e">
        <f>'BASIC INPUT'!$C$85</f>
        <v>#VALUE!</v>
      </c>
    </row>
    <row r="20" spans="2:11" ht="3.95" customHeight="1" x14ac:dyDescent="0.25">
      <c r="C20" s="83"/>
    </row>
    <row r="21" spans="2:11" x14ac:dyDescent="0.25">
      <c r="C21" s="83" t="s">
        <v>238</v>
      </c>
      <c r="D21" s="81">
        <v>0.6</v>
      </c>
      <c r="E21" s="81">
        <v>0.6</v>
      </c>
      <c r="F21" s="81">
        <v>0.6</v>
      </c>
      <c r="G21" s="96">
        <v>0.2</v>
      </c>
      <c r="H21" s="81">
        <v>0.6</v>
      </c>
      <c r="I21" s="98">
        <v>0.5</v>
      </c>
      <c r="J21" s="81">
        <f>'BASIC INPUT'!$C$102</f>
        <v>0</v>
      </c>
      <c r="K21" s="81">
        <f>'BASIC INPUT'!$C$102</f>
        <v>0</v>
      </c>
    </row>
    <row r="22" spans="2:11" x14ac:dyDescent="0.25">
      <c r="C22" s="83" t="s">
        <v>219</v>
      </c>
      <c r="D22" s="81">
        <v>0</v>
      </c>
      <c r="E22" s="81">
        <v>0</v>
      </c>
      <c r="F22" s="81">
        <v>0</v>
      </c>
      <c r="G22" s="96">
        <v>0</v>
      </c>
      <c r="H22" s="81">
        <v>0</v>
      </c>
      <c r="I22" s="98">
        <v>0</v>
      </c>
      <c r="J22" s="81">
        <f>'BASIC INPUT'!$C$103</f>
        <v>0</v>
      </c>
      <c r="K22" s="81">
        <f>'BASIC INPUT'!$C$103</f>
        <v>0</v>
      </c>
    </row>
    <row r="23" spans="2:11" x14ac:dyDescent="0.25">
      <c r="C23" s="83" t="s">
        <v>220</v>
      </c>
      <c r="D23" s="81">
        <v>0.8</v>
      </c>
      <c r="E23" s="81">
        <v>0.8</v>
      </c>
      <c r="F23" s="81">
        <v>0.8</v>
      </c>
      <c r="G23" s="96">
        <v>0.66</v>
      </c>
      <c r="H23" s="81">
        <v>0.8</v>
      </c>
      <c r="I23" s="98">
        <v>0.5</v>
      </c>
      <c r="J23" s="81">
        <f>'BASIC INPUT'!$C$104</f>
        <v>0</v>
      </c>
      <c r="K23" s="81">
        <f>'BASIC INPUT'!$C$104</f>
        <v>0</v>
      </c>
    </row>
    <row r="24" spans="2:11" x14ac:dyDescent="0.25">
      <c r="C24" s="83" t="s">
        <v>266</v>
      </c>
      <c r="D24" s="81">
        <v>0.8</v>
      </c>
      <c r="E24" s="81">
        <v>0.8</v>
      </c>
      <c r="F24" s="81">
        <v>0.8</v>
      </c>
      <c r="G24" s="96">
        <v>0.66</v>
      </c>
      <c r="H24" s="81">
        <v>0.8</v>
      </c>
      <c r="I24" s="98">
        <v>0.5</v>
      </c>
      <c r="J24" s="81">
        <f>'BASIC INPUT'!$C$105</f>
        <v>0</v>
      </c>
      <c r="K24" s="81">
        <f>'BASIC INPUT'!$C$105</f>
        <v>0</v>
      </c>
    </row>
    <row r="25" spans="2:11" ht="3.95" customHeight="1" x14ac:dyDescent="0.25">
      <c r="C25" s="83"/>
    </row>
    <row r="26" spans="2:11" x14ac:dyDescent="0.25">
      <c r="C26" s="83" t="s">
        <v>288</v>
      </c>
      <c r="D26" s="16">
        <v>12878510</v>
      </c>
      <c r="E26" s="16">
        <v>12878510</v>
      </c>
      <c r="F26" s="95">
        <v>13604027.6</v>
      </c>
      <c r="G26" s="95">
        <v>9457942.5</v>
      </c>
      <c r="H26" s="95">
        <v>11302973.800000001</v>
      </c>
      <c r="I26" s="95">
        <v>7589267</v>
      </c>
      <c r="J26" s="16" t="e">
        <f>'BASIC INPUT'!$C$156</f>
        <v>#NUM!</v>
      </c>
      <c r="K26" s="16" t="e">
        <f>'BASIC INPUT'!$C$156</f>
        <v>#NUM!</v>
      </c>
    </row>
    <row r="27" spans="2:11" x14ac:dyDescent="0.25">
      <c r="C27" s="83" t="s">
        <v>277</v>
      </c>
      <c r="D27" s="16">
        <v>951350</v>
      </c>
      <c r="E27" s="95">
        <v>0</v>
      </c>
      <c r="F27" s="95">
        <v>0</v>
      </c>
      <c r="G27" s="95">
        <v>4371917.5</v>
      </c>
      <c r="H27" s="95">
        <v>1028766.1999999993</v>
      </c>
      <c r="I27" s="95">
        <v>6800043</v>
      </c>
      <c r="J27" s="16" t="e">
        <f>'BASIC INPUT'!#REF!</f>
        <v>#REF!</v>
      </c>
      <c r="K27" s="16" t="e">
        <f>'BASIC INPUT'!#REF!</f>
        <v>#REF!</v>
      </c>
    </row>
    <row r="28" spans="2:11" x14ac:dyDescent="0.25">
      <c r="C28" s="83" t="s">
        <v>259</v>
      </c>
      <c r="D28" s="16">
        <v>7754520.0743936123</v>
      </c>
      <c r="E28" s="16">
        <v>7754520.0743936123</v>
      </c>
      <c r="F28" s="95">
        <v>8189932.1897755163</v>
      </c>
      <c r="G28" s="95">
        <v>5565085.0804828033</v>
      </c>
      <c r="H28" s="95">
        <v>7055906.7566089695</v>
      </c>
      <c r="I28" s="95">
        <v>4621334.0855993861</v>
      </c>
      <c r="J28" s="16" t="e">
        <f>'BASIC INPUT'!$C$157</f>
        <v>#NUM!</v>
      </c>
      <c r="K28" s="16" t="e">
        <f>'BASIC INPUT'!$C$157</f>
        <v>#NUM!</v>
      </c>
    </row>
    <row r="29" spans="2:11" ht="3.95" customHeight="1" x14ac:dyDescent="0.25">
      <c r="C29" s="83"/>
    </row>
    <row r="30" spans="2:11" x14ac:dyDescent="0.25">
      <c r="B30" s="89"/>
      <c r="C30" s="83" t="s">
        <v>279</v>
      </c>
      <c r="D30" s="76">
        <v>-13829860</v>
      </c>
      <c r="E30" s="92">
        <v>-10679860</v>
      </c>
      <c r="F30" s="92">
        <v>-13550140</v>
      </c>
      <c r="G30" s="92">
        <v>-13829860</v>
      </c>
      <c r="H30" s="92">
        <v>-12331740</v>
      </c>
      <c r="I30" s="92">
        <v>-14389310</v>
      </c>
      <c r="J30" s="76">
        <f>-'BASIC INPUT'!$C$70</f>
        <v>0</v>
      </c>
      <c r="K30" s="76">
        <f>-'BASIC INPUT'!$C$70</f>
        <v>0</v>
      </c>
    </row>
    <row r="31" spans="2:11" x14ac:dyDescent="0.25">
      <c r="B31" s="89"/>
      <c r="C31" s="83" t="s">
        <v>281</v>
      </c>
      <c r="D31" s="76">
        <v>4039949.1353009269</v>
      </c>
      <c r="E31" s="92">
        <v>4039949.1353009269</v>
      </c>
      <c r="F31" s="92">
        <v>4839236.7420659736</v>
      </c>
      <c r="G31" s="92">
        <v>4039949.1353009269</v>
      </c>
      <c r="H31" s="92">
        <v>2554465.1061249971</v>
      </c>
      <c r="I31" s="92">
        <v>2441376.9217708334</v>
      </c>
      <c r="J31" s="76" t="e">
        <f>'BASIC INPUT'!$C$85</f>
        <v>#VALUE!</v>
      </c>
      <c r="K31" s="76" t="e">
        <f>'BASIC INPUT'!$C$85</f>
        <v>#VALUE!</v>
      </c>
    </row>
    <row r="32" spans="2:11" x14ac:dyDescent="0.25">
      <c r="B32" s="89"/>
      <c r="C32" s="83" t="s">
        <v>280</v>
      </c>
      <c r="D32" s="76">
        <v>7754520.0743936123</v>
      </c>
      <c r="E32" s="92">
        <v>7754520.0743936123</v>
      </c>
      <c r="F32" s="92">
        <v>8189932.1897755163</v>
      </c>
      <c r="G32" s="92">
        <v>5565085.0804828033</v>
      </c>
      <c r="H32" s="92">
        <v>7055906.7566089695</v>
      </c>
      <c r="I32" s="92">
        <v>4621334.0855993861</v>
      </c>
      <c r="J32" s="76" t="e">
        <f>'BASIC INPUT'!$C$157</f>
        <v>#NUM!</v>
      </c>
      <c r="K32" s="76" t="e">
        <f>'BASIC INPUT'!$C$157</f>
        <v>#NUM!</v>
      </c>
    </row>
    <row r="33" spans="2:11" x14ac:dyDescent="0.25">
      <c r="B33" s="89"/>
      <c r="C33" s="83" t="s">
        <v>289</v>
      </c>
      <c r="D33" s="76">
        <v>-2035390.7903054608</v>
      </c>
      <c r="E33" s="92">
        <v>1114609.2096945392</v>
      </c>
      <c r="F33" s="92">
        <v>-520971.06815851014</v>
      </c>
      <c r="G33" s="92">
        <v>-4224825.7842162699</v>
      </c>
      <c r="H33" s="92">
        <v>-2721368.1372660333</v>
      </c>
      <c r="I33" s="92">
        <v>-7326598.9926297814</v>
      </c>
      <c r="J33" s="76" t="e">
        <f>-'BASIC INPUT'!$C$161</f>
        <v>#NUM!</v>
      </c>
      <c r="K33" s="76" t="e">
        <f>-'BASIC INPUT'!$C$161</f>
        <v>#NUM!</v>
      </c>
    </row>
    <row r="34" spans="2:11" x14ac:dyDescent="0.25">
      <c r="C34" s="83" t="s">
        <v>278</v>
      </c>
      <c r="D34" s="88">
        <v>0.85282610126082536</v>
      </c>
      <c r="E34" s="93">
        <v>1.1043658934645963</v>
      </c>
      <c r="F34" s="93">
        <v>0.96155455564567371</v>
      </c>
      <c r="G34" s="93">
        <v>0.69451179081738534</v>
      </c>
      <c r="H34" s="93">
        <v>0.77931860496798511</v>
      </c>
      <c r="I34" s="93">
        <v>0.49083001722108177</v>
      </c>
      <c r="J34" s="88" t="e">
        <f>'BASIC INPUT'!$C$163</f>
        <v>#NUM!</v>
      </c>
      <c r="K34" s="88" t="e">
        <f>'BASIC INPUT'!$C$163</f>
        <v>#NUM!</v>
      </c>
    </row>
    <row r="35" spans="2:11" ht="3.95" customHeight="1" x14ac:dyDescent="0.25">
      <c r="C35" s="83"/>
    </row>
    <row r="36" spans="2:11" ht="105" x14ac:dyDescent="0.25">
      <c r="C36" s="83"/>
      <c r="D36" s="90" t="s">
        <v>282</v>
      </c>
      <c r="E36" s="90" t="s">
        <v>283</v>
      </c>
      <c r="F36" s="90" t="s">
        <v>284</v>
      </c>
      <c r="G36" s="90" t="s">
        <v>285</v>
      </c>
      <c r="H36" s="90" t="s">
        <v>290</v>
      </c>
      <c r="I36" s="90" t="s">
        <v>291</v>
      </c>
    </row>
    <row r="37" spans="2:11" x14ac:dyDescent="0.25">
      <c r="C37" s="83"/>
    </row>
    <row r="38" spans="2:11" x14ac:dyDescent="0.25">
      <c r="C38" s="83"/>
    </row>
    <row r="39" spans="2:11" x14ac:dyDescent="0.25">
      <c r="C39" s="83"/>
    </row>
    <row r="40" spans="2:11" x14ac:dyDescent="0.25">
      <c r="C40" s="83"/>
    </row>
    <row r="41" spans="2:11" x14ac:dyDescent="0.25">
      <c r="C41" s="83"/>
    </row>
    <row r="42" spans="2:11" x14ac:dyDescent="0.25">
      <c r="C42" s="83"/>
    </row>
  </sheetData>
  <pageMargins left="0.7" right="0.7" top="0.75" bottom="0.75" header="0.3" footer="0.3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1C46-D2CF-4851-8CCD-9AAD5AAF4BF7}">
  <sheetPr>
    <tabColor rgb="FFFFFF00"/>
  </sheetPr>
  <dimension ref="B2:N36"/>
  <sheetViews>
    <sheetView workbookViewId="0">
      <selection activeCell="F6" sqref="F6"/>
    </sheetView>
  </sheetViews>
  <sheetFormatPr defaultRowHeight="15" x14ac:dyDescent="0.25"/>
  <cols>
    <col min="1" max="1" width="3.140625" customWidth="1"/>
    <col min="2" max="2" width="3.42578125" customWidth="1"/>
    <col min="3" max="3" width="59.140625" customWidth="1"/>
    <col min="4" max="4" width="31.7109375" customWidth="1"/>
  </cols>
  <sheetData>
    <row r="2" spans="3:14" x14ac:dyDescent="0.25">
      <c r="D2" s="83"/>
    </row>
    <row r="3" spans="3:14" x14ac:dyDescent="0.25">
      <c r="C3" s="59" t="s">
        <v>444</v>
      </c>
      <c r="D3" s="14">
        <f>'BASIC INPUT'!C4:D4</f>
        <v>0</v>
      </c>
    </row>
    <row r="4" spans="3:14" x14ac:dyDescent="0.25">
      <c r="C4" s="59" t="s">
        <v>6</v>
      </c>
      <c r="D4" s="14">
        <f>+'BASIC INPUT'!C16</f>
        <v>0</v>
      </c>
    </row>
    <row r="5" spans="3:14" x14ac:dyDescent="0.25">
      <c r="C5" s="59" t="s">
        <v>268</v>
      </c>
      <c r="D5" s="14" t="str">
        <f>+'BASIC INPUT'!C5</f>
        <v>East Baton Rouge</v>
      </c>
    </row>
    <row r="7" spans="3:14" x14ac:dyDescent="0.25">
      <c r="C7" s="83" t="s">
        <v>239</v>
      </c>
      <c r="D7" s="16">
        <f>+'BASIC INPUT'!C66</f>
        <v>0</v>
      </c>
    </row>
    <row r="8" spans="3:14" x14ac:dyDescent="0.25">
      <c r="C8" s="83" t="s">
        <v>276</v>
      </c>
      <c r="D8" s="16" t="e">
        <f>+D7/D4</f>
        <v>#DIV/0!</v>
      </c>
    </row>
    <row r="9" spans="3:14" x14ac:dyDescent="0.25">
      <c r="C9" s="83" t="s">
        <v>273</v>
      </c>
      <c r="D9" s="16">
        <f>+'BASIC INPUT'!C68</f>
        <v>0</v>
      </c>
    </row>
    <row r="10" spans="3:14" x14ac:dyDescent="0.25">
      <c r="C10" s="83" t="s">
        <v>274</v>
      </c>
      <c r="D10" s="16">
        <f>+'BASIC INPUT'!C69</f>
        <v>0</v>
      </c>
    </row>
    <row r="11" spans="3:14" x14ac:dyDescent="0.25">
      <c r="C11" s="83" t="s">
        <v>272</v>
      </c>
      <c r="D11" s="16">
        <f>+'BASIC INPUT'!C70</f>
        <v>0</v>
      </c>
    </row>
    <row r="12" spans="3:14" x14ac:dyDescent="0.25">
      <c r="C12" s="83" t="s">
        <v>275</v>
      </c>
      <c r="D12" s="16" t="e">
        <f>+D11/$D$4</f>
        <v>#DIV/0!</v>
      </c>
    </row>
    <row r="13" spans="3:14" x14ac:dyDescent="0.25">
      <c r="C13" s="83"/>
    </row>
    <row r="14" spans="3:14" x14ac:dyDescent="0.25">
      <c r="C14" s="83" t="s">
        <v>267</v>
      </c>
      <c r="D14" s="88" t="str">
        <f>+'BASIC INPUT'!$C$49</f>
        <v/>
      </c>
    </row>
    <row r="15" spans="3:14" x14ac:dyDescent="0.25">
      <c r="C15" s="139" t="s">
        <v>269</v>
      </c>
      <c r="D15" s="91" t="str">
        <f>+'BASIC INPUT'!C50</f>
        <v/>
      </c>
      <c r="E15" s="140" t="s">
        <v>389</v>
      </c>
      <c r="F15" s="140"/>
      <c r="G15" s="140"/>
      <c r="H15" s="140"/>
      <c r="I15" s="140"/>
      <c r="J15" s="140"/>
      <c r="K15" s="140"/>
      <c r="L15" s="140"/>
      <c r="M15" s="140"/>
      <c r="N15" s="140"/>
    </row>
    <row r="16" spans="3:14" x14ac:dyDescent="0.25">
      <c r="C16" s="83" t="s">
        <v>270</v>
      </c>
      <c r="D16" s="91" t="str">
        <f>+'BASIC INPUT'!C51</f>
        <v/>
      </c>
      <c r="E16" s="140" t="s">
        <v>390</v>
      </c>
      <c r="F16" s="140"/>
      <c r="G16" s="140"/>
      <c r="H16" s="140"/>
      <c r="I16" s="140"/>
      <c r="J16" s="140"/>
      <c r="K16" s="140"/>
      <c r="L16" s="140"/>
      <c r="M16" s="140"/>
      <c r="N16" s="140"/>
    </row>
    <row r="17" spans="2:4" x14ac:dyDescent="0.25">
      <c r="C17" s="83" t="s">
        <v>271</v>
      </c>
      <c r="D17" s="16" t="str">
        <f>+'BASIC INPUT'!$C$52</f>
        <v/>
      </c>
    </row>
    <row r="18" spans="2:4" x14ac:dyDescent="0.25">
      <c r="C18" s="83" t="s">
        <v>149</v>
      </c>
      <c r="D18" s="16">
        <f>+'BASIC INPUT'!$C$84</f>
        <v>0</v>
      </c>
    </row>
    <row r="19" spans="2:4" x14ac:dyDescent="0.25">
      <c r="C19" s="83" t="s">
        <v>217</v>
      </c>
      <c r="D19" s="16" t="e">
        <f>+'BASIC INPUT'!$C$85</f>
        <v>#VALUE!</v>
      </c>
    </row>
    <row r="20" spans="2:4" x14ac:dyDescent="0.25">
      <c r="C20" s="83"/>
    </row>
    <row r="21" spans="2:4" x14ac:dyDescent="0.25">
      <c r="C21" s="83" t="s">
        <v>238</v>
      </c>
      <c r="D21" s="81">
        <f>+'BASIC INPUT'!$C$102</f>
        <v>0</v>
      </c>
    </row>
    <row r="22" spans="2:4" x14ac:dyDescent="0.25">
      <c r="C22" s="83" t="s">
        <v>219</v>
      </c>
      <c r="D22" s="141">
        <f>+'BASIC INPUT'!$C$103</f>
        <v>0</v>
      </c>
    </row>
    <row r="23" spans="2:4" x14ac:dyDescent="0.25">
      <c r="C23" s="83" t="s">
        <v>220</v>
      </c>
      <c r="D23" s="81">
        <f>+'BASIC INPUT'!$C$104</f>
        <v>0</v>
      </c>
    </row>
    <row r="24" spans="2:4" x14ac:dyDescent="0.25">
      <c r="C24" s="83" t="s">
        <v>266</v>
      </c>
      <c r="D24" s="81">
        <f>+'BASIC INPUT'!$C$105</f>
        <v>0</v>
      </c>
    </row>
    <row r="25" spans="2:4" x14ac:dyDescent="0.25">
      <c r="C25" s="83"/>
    </row>
    <row r="26" spans="2:4" x14ac:dyDescent="0.25">
      <c r="C26" s="83" t="s">
        <v>288</v>
      </c>
      <c r="D26" s="15" t="e">
        <f>+'BASIC INPUT'!C156</f>
        <v>#NUM!</v>
      </c>
    </row>
    <row r="27" spans="2:4" x14ac:dyDescent="0.25">
      <c r="C27" s="83" t="s">
        <v>277</v>
      </c>
      <c r="D27" s="15" t="e">
        <f>+'BASIC INPUT'!C164</f>
        <v>#NUM!</v>
      </c>
    </row>
    <row r="28" spans="2:4" x14ac:dyDescent="0.25">
      <c r="C28" s="83" t="s">
        <v>259</v>
      </c>
      <c r="D28" s="16" t="e">
        <f>+'BASIC INPUT'!C157</f>
        <v>#NUM!</v>
      </c>
    </row>
    <row r="29" spans="2:4" x14ac:dyDescent="0.25">
      <c r="C29" s="83"/>
    </row>
    <row r="30" spans="2:4" x14ac:dyDescent="0.25">
      <c r="B30" s="89"/>
      <c r="C30" s="83" t="s">
        <v>279</v>
      </c>
      <c r="D30" s="76">
        <f>+-'BASIC INPUT'!C158</f>
        <v>0</v>
      </c>
    </row>
    <row r="31" spans="2:4" x14ac:dyDescent="0.25">
      <c r="B31" s="89"/>
      <c r="C31" s="83" t="s">
        <v>281</v>
      </c>
      <c r="D31" s="76" t="e">
        <f>+D19</f>
        <v>#VALUE!</v>
      </c>
    </row>
    <row r="32" spans="2:4" x14ac:dyDescent="0.25">
      <c r="B32" s="89"/>
      <c r="C32" s="83" t="s">
        <v>280</v>
      </c>
      <c r="D32" s="76" t="e">
        <f>+D28</f>
        <v>#NUM!</v>
      </c>
    </row>
    <row r="33" spans="2:4" x14ac:dyDescent="0.25">
      <c r="B33" s="89"/>
      <c r="C33" s="83" t="s">
        <v>289</v>
      </c>
      <c r="D33" s="76" t="e">
        <f>SUM(D29:D32)</f>
        <v>#VALUE!</v>
      </c>
    </row>
    <row r="34" spans="2:4" x14ac:dyDescent="0.25">
      <c r="C34" s="83" t="s">
        <v>278</v>
      </c>
      <c r="D34" s="142" t="e">
        <f>+'BASIC INPUT'!$C$163</f>
        <v>#NUM!</v>
      </c>
    </row>
    <row r="35" spans="2:4" x14ac:dyDescent="0.25">
      <c r="C35" s="83"/>
    </row>
    <row r="36" spans="2:4" x14ac:dyDescent="0.25">
      <c r="C36" s="83"/>
      <c r="D36" s="14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BASIC INPUT</vt:lpstr>
      <vt:lpstr>PROFORMA</vt:lpstr>
      <vt:lpstr>CDBG Repmt NPV</vt:lpstr>
      <vt:lpstr>REF AMIS</vt:lpstr>
      <vt:lpstr>Calc AMI Rents</vt:lpstr>
      <vt:lpstr>DropDowns</vt:lpstr>
      <vt:lpstr>Outputs</vt:lpstr>
      <vt:lpstr>This One</vt:lpstr>
      <vt:lpstr>'BASIC INPUT'!Print_Area</vt:lpstr>
      <vt:lpstr>'BASIC INPUT'!Print_Titles</vt:lpstr>
      <vt:lpstr>Outputs!Print_Titles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Anker Heegaard</dc:creator>
  <cp:lastModifiedBy>Anker Heegaard</cp:lastModifiedBy>
  <cp:lastPrinted>2023-08-08T15:32:14Z</cp:lastPrinted>
  <dcterms:created xsi:type="dcterms:W3CDTF">2023-07-07T12:56:22Z</dcterms:created>
  <dcterms:modified xsi:type="dcterms:W3CDTF">2023-09-07T16:07:32Z</dcterms:modified>
</cp:coreProperties>
</file>